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 Drive\IP work\11. Sheltrex Karjat Pvt Ltd\Claims received\Home Buyers\"/>
    </mc:Choice>
  </mc:AlternateContent>
  <xr:revisionPtr revIDLastSave="0" documentId="8_{01537FDD-6077-4EAC-9889-17D36C002A09}" xr6:coauthVersionLast="47" xr6:coauthVersionMax="47" xr10:uidLastSave="{00000000-0000-0000-0000-000000000000}"/>
  <bookViews>
    <workbookView xWindow="-120" yWindow="-120" windowWidth="24240" windowHeight="13020" xr2:uid="{BA1A4E37-A60D-460F-B952-2E0AC67A370D}"/>
  </bookViews>
  <sheets>
    <sheet name="Home Buyer" sheetId="1" r:id="rId1"/>
  </sheets>
  <externalReferences>
    <externalReference r:id="rId2"/>
  </externalReferences>
  <definedNames>
    <definedName name="_xlnm._FilterDatabase" localSheetId="0" hidden="1">'Home Buyer'!$A$9:$D$196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6" i="1" l="1"/>
  <c r="S196" i="1"/>
  <c r="R196" i="1"/>
  <c r="Q196" i="1"/>
  <c r="V195" i="1"/>
  <c r="T195" i="1"/>
  <c r="O195" i="1"/>
  <c r="N195" i="1"/>
  <c r="O194" i="1"/>
  <c r="N194" i="1"/>
  <c r="T193" i="1"/>
  <c r="I193" i="1"/>
  <c r="W192" i="1"/>
  <c r="X192" i="1" s="1"/>
  <c r="V192" i="1"/>
  <c r="T192" i="1"/>
  <c r="N192" i="1"/>
  <c r="P191" i="1"/>
  <c r="T191" i="1" s="1"/>
  <c r="N191" i="1"/>
  <c r="V190" i="1"/>
  <c r="W190" i="1" s="1"/>
  <c r="T190" i="1"/>
  <c r="O190" i="1"/>
  <c r="N190" i="1"/>
  <c r="V189" i="1"/>
  <c r="T189" i="1"/>
  <c r="N189" i="1"/>
  <c r="O188" i="1"/>
  <c r="V188" i="1" s="1"/>
  <c r="N188" i="1"/>
  <c r="O187" i="1"/>
  <c r="V187" i="1" s="1"/>
  <c r="N187" i="1"/>
  <c r="J187" i="1"/>
  <c r="P187" i="1" s="1"/>
  <c r="P186" i="1"/>
  <c r="O186" i="1"/>
  <c r="N186" i="1"/>
  <c r="I186" i="1"/>
  <c r="O185" i="1"/>
  <c r="N185" i="1"/>
  <c r="P184" i="1"/>
  <c r="O184" i="1"/>
  <c r="T184" i="1" s="1"/>
  <c r="L184" i="1"/>
  <c r="I184" i="1"/>
  <c r="V183" i="1"/>
  <c r="T183" i="1"/>
  <c r="O183" i="1"/>
  <c r="N183" i="1"/>
  <c r="O182" i="1"/>
  <c r="N182" i="1"/>
  <c r="O181" i="1"/>
  <c r="V181" i="1" s="1"/>
  <c r="N181" i="1"/>
  <c r="P180" i="1"/>
  <c r="O180" i="1"/>
  <c r="V180" i="1" s="1"/>
  <c r="N180" i="1"/>
  <c r="I180" i="1"/>
  <c r="O179" i="1"/>
  <c r="V179" i="1" s="1"/>
  <c r="N179" i="1"/>
  <c r="T178" i="1"/>
  <c r="I178" i="1"/>
  <c r="V178" i="1" s="1"/>
  <c r="W178" i="1" s="1"/>
  <c r="V177" i="1"/>
  <c r="T177" i="1"/>
  <c r="W177" i="1" s="1"/>
  <c r="X177" i="1" s="1"/>
  <c r="P177" i="1"/>
  <c r="N177" i="1"/>
  <c r="T176" i="1"/>
  <c r="O176" i="1"/>
  <c r="V176" i="1" s="1"/>
  <c r="J176" i="1"/>
  <c r="P176" i="1" s="1"/>
  <c r="T175" i="1"/>
  <c r="P175" i="1"/>
  <c r="O175" i="1"/>
  <c r="I175" i="1"/>
  <c r="N175" i="1" s="1"/>
  <c r="P174" i="1"/>
  <c r="O174" i="1"/>
  <c r="V174" i="1" s="1"/>
  <c r="N174" i="1"/>
  <c r="W173" i="1"/>
  <c r="X173" i="1" s="1"/>
  <c r="V173" i="1"/>
  <c r="T173" i="1"/>
  <c r="N173" i="1"/>
  <c r="T172" i="1"/>
  <c r="O172" i="1"/>
  <c r="V172" i="1" s="1"/>
  <c r="N172" i="1"/>
  <c r="O171" i="1"/>
  <c r="N171" i="1"/>
  <c r="V170" i="1"/>
  <c r="W170" i="1" s="1"/>
  <c r="X170" i="1" s="1"/>
  <c r="T170" i="1"/>
  <c r="O170" i="1"/>
  <c r="N170" i="1"/>
  <c r="L170" i="1"/>
  <c r="J170" i="1"/>
  <c r="I170" i="1"/>
  <c r="T169" i="1"/>
  <c r="O169" i="1"/>
  <c r="V169" i="1" s="1"/>
  <c r="N169" i="1"/>
  <c r="P168" i="1"/>
  <c r="O168" i="1"/>
  <c r="V168" i="1" s="1"/>
  <c r="N168" i="1"/>
  <c r="O167" i="1"/>
  <c r="N167" i="1"/>
  <c r="V166" i="1"/>
  <c r="W166" i="1" s="1"/>
  <c r="T166" i="1"/>
  <c r="O166" i="1"/>
  <c r="N166" i="1"/>
  <c r="I166" i="1"/>
  <c r="V165" i="1"/>
  <c r="W165" i="1" s="1"/>
  <c r="X165" i="1" s="1"/>
  <c r="T165" i="1"/>
  <c r="O165" i="1"/>
  <c r="N165" i="1"/>
  <c r="V164" i="1"/>
  <c r="T164" i="1"/>
  <c r="O164" i="1"/>
  <c r="N164" i="1"/>
  <c r="O163" i="1"/>
  <c r="N163" i="1"/>
  <c r="O162" i="1"/>
  <c r="V162" i="1" s="1"/>
  <c r="N162" i="1"/>
  <c r="P161" i="1"/>
  <c r="O161" i="1"/>
  <c r="V161" i="1" s="1"/>
  <c r="N161" i="1"/>
  <c r="P160" i="1"/>
  <c r="O160" i="1"/>
  <c r="V160" i="1" s="1"/>
  <c r="N160" i="1"/>
  <c r="W159" i="1"/>
  <c r="X159" i="1" s="1"/>
  <c r="V159" i="1"/>
  <c r="O159" i="1"/>
  <c r="T159" i="1" s="1"/>
  <c r="N159" i="1"/>
  <c r="V158" i="1"/>
  <c r="T158" i="1"/>
  <c r="W158" i="1" s="1"/>
  <c r="X158" i="1" s="1"/>
  <c r="P158" i="1"/>
  <c r="O158" i="1"/>
  <c r="N158" i="1"/>
  <c r="V157" i="1"/>
  <c r="T157" i="1"/>
  <c r="N157" i="1"/>
  <c r="P156" i="1"/>
  <c r="O156" i="1"/>
  <c r="V156" i="1" s="1"/>
  <c r="N156" i="1"/>
  <c r="P155" i="1"/>
  <c r="O155" i="1"/>
  <c r="N155" i="1"/>
  <c r="O154" i="1"/>
  <c r="N154" i="1"/>
  <c r="P153" i="1"/>
  <c r="O153" i="1"/>
  <c r="T153" i="1" s="1"/>
  <c r="N153" i="1"/>
  <c r="V152" i="1"/>
  <c r="W152" i="1" s="1"/>
  <c r="T152" i="1"/>
  <c r="O152" i="1"/>
  <c r="N152" i="1"/>
  <c r="V151" i="1"/>
  <c r="T151" i="1"/>
  <c r="O151" i="1"/>
  <c r="N151" i="1"/>
  <c r="O150" i="1"/>
  <c r="N150" i="1"/>
  <c r="O149" i="1"/>
  <c r="V149" i="1" s="1"/>
  <c r="N149" i="1"/>
  <c r="W148" i="1"/>
  <c r="X148" i="1" s="1"/>
  <c r="V148" i="1"/>
  <c r="O148" i="1"/>
  <c r="T148" i="1" s="1"/>
  <c r="N148" i="1"/>
  <c r="V147" i="1"/>
  <c r="T147" i="1"/>
  <c r="O147" i="1"/>
  <c r="N147" i="1"/>
  <c r="T146" i="1"/>
  <c r="O146" i="1"/>
  <c r="V146" i="1" s="1"/>
  <c r="N146" i="1"/>
  <c r="P145" i="1"/>
  <c r="O145" i="1"/>
  <c r="T145" i="1" s="1"/>
  <c r="L145" i="1"/>
  <c r="J145" i="1"/>
  <c r="I145" i="1"/>
  <c r="V144" i="1"/>
  <c r="O144" i="1"/>
  <c r="T144" i="1" s="1"/>
  <c r="N144" i="1"/>
  <c r="V143" i="1"/>
  <c r="T143" i="1"/>
  <c r="L143" i="1"/>
  <c r="N143" i="1" s="1"/>
  <c r="T142" i="1"/>
  <c r="P142" i="1"/>
  <c r="O142" i="1"/>
  <c r="V142" i="1" s="1"/>
  <c r="N142" i="1"/>
  <c r="V141" i="1"/>
  <c r="T141" i="1"/>
  <c r="N141" i="1"/>
  <c r="V140" i="1"/>
  <c r="P140" i="1"/>
  <c r="O140" i="1"/>
  <c r="T140" i="1" s="1"/>
  <c r="N140" i="1"/>
  <c r="V139" i="1"/>
  <c r="W139" i="1" s="1"/>
  <c r="X139" i="1" s="1"/>
  <c r="T139" i="1"/>
  <c r="I139" i="1"/>
  <c r="N139" i="1" s="1"/>
  <c r="V138" i="1"/>
  <c r="T138" i="1"/>
  <c r="P138" i="1"/>
  <c r="O138" i="1"/>
  <c r="N138" i="1"/>
  <c r="V137" i="1"/>
  <c r="T137" i="1"/>
  <c r="O137" i="1"/>
  <c r="N137" i="1"/>
  <c r="O136" i="1"/>
  <c r="N136" i="1"/>
  <c r="X135" i="1"/>
  <c r="W135" i="1"/>
  <c r="V135" i="1"/>
  <c r="T135" i="1"/>
  <c r="N135" i="1"/>
  <c r="V134" i="1"/>
  <c r="T134" i="1"/>
  <c r="N134" i="1"/>
  <c r="P133" i="1"/>
  <c r="O133" i="1"/>
  <c r="V133" i="1" s="1"/>
  <c r="N133" i="1"/>
  <c r="X132" i="1"/>
  <c r="W132" i="1"/>
  <c r="V132" i="1"/>
  <c r="T132" i="1"/>
  <c r="N132" i="1"/>
  <c r="V131" i="1"/>
  <c r="T131" i="1"/>
  <c r="N131" i="1"/>
  <c r="O130" i="1"/>
  <c r="T130" i="1" s="1"/>
  <c r="N130" i="1"/>
  <c r="I130" i="1"/>
  <c r="V130" i="1" s="1"/>
  <c r="P129" i="1"/>
  <c r="O129" i="1"/>
  <c r="T129" i="1" s="1"/>
  <c r="M129" i="1"/>
  <c r="L129" i="1"/>
  <c r="I129" i="1"/>
  <c r="O128" i="1"/>
  <c r="T128" i="1" s="1"/>
  <c r="M128" i="1"/>
  <c r="L128" i="1"/>
  <c r="I128" i="1"/>
  <c r="P127" i="1"/>
  <c r="T127" i="1" s="1"/>
  <c r="O127" i="1"/>
  <c r="M127" i="1"/>
  <c r="L127" i="1"/>
  <c r="I127" i="1"/>
  <c r="T126" i="1"/>
  <c r="L126" i="1"/>
  <c r="V126" i="1" s="1"/>
  <c r="W126" i="1" s="1"/>
  <c r="W125" i="1"/>
  <c r="X125" i="1" s="1"/>
  <c r="V125" i="1"/>
  <c r="T125" i="1"/>
  <c r="N125" i="1"/>
  <c r="U124" i="1"/>
  <c r="V124" i="1" s="1"/>
  <c r="T124" i="1"/>
  <c r="W124" i="1" s="1"/>
  <c r="X124" i="1" s="1"/>
  <c r="N124" i="1"/>
  <c r="P123" i="1"/>
  <c r="T123" i="1" s="1"/>
  <c r="N123" i="1"/>
  <c r="L123" i="1"/>
  <c r="I123" i="1" s="1"/>
  <c r="U122" i="1"/>
  <c r="V122" i="1" s="1"/>
  <c r="T122" i="1"/>
  <c r="N122" i="1"/>
  <c r="J122" i="1"/>
  <c r="P121" i="1"/>
  <c r="V121" i="1" s="1"/>
  <c r="J121" i="1"/>
  <c r="N121" i="1" s="1"/>
  <c r="V120" i="1"/>
  <c r="T120" i="1"/>
  <c r="W120" i="1" s="1"/>
  <c r="X120" i="1" s="1"/>
  <c r="N120" i="1"/>
  <c r="L120" i="1"/>
  <c r="T119" i="1"/>
  <c r="M119" i="1"/>
  <c r="N119" i="1" s="1"/>
  <c r="L119" i="1"/>
  <c r="I119" i="1"/>
  <c r="U118" i="1"/>
  <c r="V118" i="1" s="1"/>
  <c r="T118" i="1"/>
  <c r="N118" i="1"/>
  <c r="W117" i="1"/>
  <c r="U117" i="1"/>
  <c r="V117" i="1" s="1"/>
  <c r="T117" i="1"/>
  <c r="N117" i="1"/>
  <c r="X117" i="1" s="1"/>
  <c r="W116" i="1"/>
  <c r="X116" i="1" s="1"/>
  <c r="V116" i="1"/>
  <c r="P116" i="1"/>
  <c r="T116" i="1" s="1"/>
  <c r="N116" i="1"/>
  <c r="J115" i="1"/>
  <c r="V114" i="1"/>
  <c r="T114" i="1"/>
  <c r="W114" i="1" s="1"/>
  <c r="X114" i="1" s="1"/>
  <c r="P114" i="1"/>
  <c r="N114" i="1"/>
  <c r="V113" i="1"/>
  <c r="T113" i="1"/>
  <c r="N113" i="1"/>
  <c r="V112" i="1"/>
  <c r="W112" i="1" s="1"/>
  <c r="X112" i="1" s="1"/>
  <c r="T112" i="1"/>
  <c r="N112" i="1"/>
  <c r="X111" i="1"/>
  <c r="V111" i="1"/>
  <c r="T111" i="1"/>
  <c r="W111" i="1" s="1"/>
  <c r="N111" i="1"/>
  <c r="W110" i="1"/>
  <c r="X110" i="1" s="1"/>
  <c r="V110" i="1"/>
  <c r="T110" i="1"/>
  <c r="N110" i="1"/>
  <c r="P109" i="1"/>
  <c r="T109" i="1" s="1"/>
  <c r="W109" i="1" s="1"/>
  <c r="I109" i="1"/>
  <c r="V109" i="1" s="1"/>
  <c r="V108" i="1"/>
  <c r="T108" i="1"/>
  <c r="W108" i="1" s="1"/>
  <c r="X108" i="1" s="1"/>
  <c r="N108" i="1"/>
  <c r="N107" i="1"/>
  <c r="J107" i="1"/>
  <c r="V106" i="1"/>
  <c r="W106" i="1" s="1"/>
  <c r="T106" i="1"/>
  <c r="N106" i="1"/>
  <c r="I106" i="1"/>
  <c r="U106" i="1" s="1"/>
  <c r="V105" i="1"/>
  <c r="W105" i="1" s="1"/>
  <c r="X105" i="1" s="1"/>
  <c r="T105" i="1"/>
  <c r="N105" i="1"/>
  <c r="X104" i="1"/>
  <c r="V104" i="1"/>
  <c r="T104" i="1"/>
  <c r="W104" i="1" s="1"/>
  <c r="N104" i="1"/>
  <c r="V103" i="1"/>
  <c r="W103" i="1" s="1"/>
  <c r="X103" i="1" s="1"/>
  <c r="P103" i="1"/>
  <c r="T103" i="1" s="1"/>
  <c r="N103" i="1"/>
  <c r="V102" i="1"/>
  <c r="T102" i="1"/>
  <c r="P102" i="1"/>
  <c r="I102" i="1"/>
  <c r="N102" i="1" s="1"/>
  <c r="T101" i="1"/>
  <c r="L101" i="1"/>
  <c r="I101" i="1"/>
  <c r="V100" i="1"/>
  <c r="T100" i="1"/>
  <c r="N100" i="1"/>
  <c r="W99" i="1"/>
  <c r="X99" i="1" s="1"/>
  <c r="V99" i="1"/>
  <c r="T99" i="1"/>
  <c r="N99" i="1"/>
  <c r="V98" i="1"/>
  <c r="T98" i="1"/>
  <c r="P98" i="1"/>
  <c r="N98" i="1"/>
  <c r="X97" i="1"/>
  <c r="V97" i="1"/>
  <c r="T97" i="1"/>
  <c r="W97" i="1" s="1"/>
  <c r="N97" i="1"/>
  <c r="W96" i="1"/>
  <c r="V96" i="1"/>
  <c r="U96" i="1"/>
  <c r="T96" i="1"/>
  <c r="N96" i="1"/>
  <c r="V95" i="1"/>
  <c r="T95" i="1"/>
  <c r="P95" i="1"/>
  <c r="N95" i="1"/>
  <c r="T94" i="1"/>
  <c r="P94" i="1"/>
  <c r="V94" i="1" s="1"/>
  <c r="N94" i="1"/>
  <c r="W93" i="1"/>
  <c r="X93" i="1" s="1"/>
  <c r="V93" i="1"/>
  <c r="T93" i="1"/>
  <c r="N93" i="1"/>
  <c r="T92" i="1"/>
  <c r="P92" i="1"/>
  <c r="I92" i="1"/>
  <c r="U91" i="1"/>
  <c r="V91" i="1" s="1"/>
  <c r="W91" i="1" s="1"/>
  <c r="X91" i="1" s="1"/>
  <c r="T91" i="1"/>
  <c r="N91" i="1"/>
  <c r="T90" i="1"/>
  <c r="P90" i="1"/>
  <c r="V90" i="1" s="1"/>
  <c r="N90" i="1"/>
  <c r="U89" i="1"/>
  <c r="P89" i="1"/>
  <c r="N89" i="1"/>
  <c r="W88" i="1"/>
  <c r="X88" i="1" s="1"/>
  <c r="T88" i="1"/>
  <c r="N88" i="1"/>
  <c r="L88" i="1"/>
  <c r="I88" i="1" s="1"/>
  <c r="V88" i="1" s="1"/>
  <c r="P87" i="1"/>
  <c r="N87" i="1"/>
  <c r="V86" i="1"/>
  <c r="P86" i="1"/>
  <c r="T86" i="1" s="1"/>
  <c r="N86" i="1"/>
  <c r="V85" i="1"/>
  <c r="T85" i="1"/>
  <c r="P85" i="1"/>
  <c r="N85" i="1"/>
  <c r="T84" i="1"/>
  <c r="L84" i="1"/>
  <c r="J84" i="1"/>
  <c r="V83" i="1"/>
  <c r="W83" i="1" s="1"/>
  <c r="X83" i="1" s="1"/>
  <c r="T83" i="1"/>
  <c r="N83" i="1"/>
  <c r="X82" i="1"/>
  <c r="V82" i="1"/>
  <c r="T82" i="1"/>
  <c r="W82" i="1" s="1"/>
  <c r="N82" i="1"/>
  <c r="T81" i="1"/>
  <c r="J81" i="1"/>
  <c r="I81" i="1"/>
  <c r="O80" i="1"/>
  <c r="N80" i="1"/>
  <c r="V79" i="1"/>
  <c r="O79" i="1"/>
  <c r="T79" i="1" s="1"/>
  <c r="N79" i="1"/>
  <c r="I79" i="1"/>
  <c r="V78" i="1"/>
  <c r="O78" i="1"/>
  <c r="T78" i="1" s="1"/>
  <c r="I78" i="1"/>
  <c r="N78" i="1" s="1"/>
  <c r="W77" i="1"/>
  <c r="X77" i="1" s="1"/>
  <c r="V77" i="1"/>
  <c r="O77" i="1"/>
  <c r="T77" i="1" s="1"/>
  <c r="N77" i="1"/>
  <c r="T76" i="1"/>
  <c r="O76" i="1"/>
  <c r="I76" i="1"/>
  <c r="N76" i="1" s="1"/>
  <c r="T75" i="1"/>
  <c r="O75" i="1"/>
  <c r="I75" i="1"/>
  <c r="V74" i="1"/>
  <c r="T74" i="1"/>
  <c r="O74" i="1"/>
  <c r="K74" i="1"/>
  <c r="K196" i="1" s="1"/>
  <c r="I74" i="1"/>
  <c r="N74" i="1" s="1"/>
  <c r="W73" i="1"/>
  <c r="X73" i="1" s="1"/>
  <c r="V73" i="1"/>
  <c r="T73" i="1"/>
  <c r="N73" i="1"/>
  <c r="O72" i="1"/>
  <c r="V72" i="1" s="1"/>
  <c r="N72" i="1"/>
  <c r="X71" i="1"/>
  <c r="W71" i="1"/>
  <c r="V71" i="1"/>
  <c r="T71" i="1"/>
  <c r="N71" i="1"/>
  <c r="V70" i="1"/>
  <c r="T70" i="1"/>
  <c r="P70" i="1"/>
  <c r="O70" i="1"/>
  <c r="N70" i="1"/>
  <c r="V69" i="1"/>
  <c r="T69" i="1"/>
  <c r="N69" i="1"/>
  <c r="X68" i="1"/>
  <c r="W68" i="1"/>
  <c r="V68" i="1"/>
  <c r="T68" i="1"/>
  <c r="N68" i="1"/>
  <c r="V67" i="1"/>
  <c r="T67" i="1"/>
  <c r="W67" i="1" s="1"/>
  <c r="X67" i="1" s="1"/>
  <c r="N67" i="1"/>
  <c r="W66" i="1"/>
  <c r="V66" i="1"/>
  <c r="T66" i="1"/>
  <c r="N66" i="1"/>
  <c r="X66" i="1" s="1"/>
  <c r="V65" i="1"/>
  <c r="T65" i="1"/>
  <c r="P65" i="1"/>
  <c r="N65" i="1"/>
  <c r="X64" i="1"/>
  <c r="V64" i="1"/>
  <c r="T64" i="1"/>
  <c r="W64" i="1" s="1"/>
  <c r="N64" i="1"/>
  <c r="W63" i="1"/>
  <c r="V63" i="1"/>
  <c r="P63" i="1"/>
  <c r="T63" i="1" s="1"/>
  <c r="M63" i="1"/>
  <c r="J63" i="1"/>
  <c r="V62" i="1"/>
  <c r="T62" i="1"/>
  <c r="N62" i="1"/>
  <c r="V61" i="1"/>
  <c r="T61" i="1"/>
  <c r="P61" i="1"/>
  <c r="N61" i="1"/>
  <c r="T60" i="1"/>
  <c r="L60" i="1"/>
  <c r="I60" i="1"/>
  <c r="P59" i="1"/>
  <c r="T59" i="1" s="1"/>
  <c r="O59" i="1"/>
  <c r="N59" i="1"/>
  <c r="O58" i="1"/>
  <c r="N58" i="1"/>
  <c r="V57" i="1"/>
  <c r="W57" i="1" s="1"/>
  <c r="X57" i="1" s="1"/>
  <c r="P57" i="1"/>
  <c r="T57" i="1" s="1"/>
  <c r="N57" i="1"/>
  <c r="V56" i="1"/>
  <c r="T56" i="1"/>
  <c r="N56" i="1"/>
  <c r="W55" i="1"/>
  <c r="X55" i="1" s="1"/>
  <c r="V55" i="1"/>
  <c r="T55" i="1"/>
  <c r="N55" i="1"/>
  <c r="V54" i="1"/>
  <c r="T54" i="1"/>
  <c r="W54" i="1" s="1"/>
  <c r="X54" i="1" s="1"/>
  <c r="O54" i="1"/>
  <c r="N54" i="1"/>
  <c r="O53" i="1"/>
  <c r="V53" i="1" s="1"/>
  <c r="N53" i="1"/>
  <c r="O52" i="1"/>
  <c r="N52" i="1"/>
  <c r="V51" i="1"/>
  <c r="O51" i="1"/>
  <c r="T51" i="1" s="1"/>
  <c r="N51" i="1"/>
  <c r="U50" i="1"/>
  <c r="T50" i="1"/>
  <c r="W50" i="1" s="1"/>
  <c r="X50" i="1" s="1"/>
  <c r="P50" i="1"/>
  <c r="N50" i="1"/>
  <c r="O49" i="1"/>
  <c r="J49" i="1"/>
  <c r="O48" i="1"/>
  <c r="J48" i="1"/>
  <c r="P48" i="1" s="1"/>
  <c r="T48" i="1" s="1"/>
  <c r="V47" i="1"/>
  <c r="W47" i="1" s="1"/>
  <c r="X47" i="1" s="1"/>
  <c r="T47" i="1"/>
  <c r="N47" i="1"/>
  <c r="O46" i="1"/>
  <c r="T46" i="1" s="1"/>
  <c r="I46" i="1"/>
  <c r="U45" i="1"/>
  <c r="V45" i="1" s="1"/>
  <c r="T45" i="1"/>
  <c r="O45" i="1"/>
  <c r="N45" i="1"/>
  <c r="V44" i="1"/>
  <c r="T44" i="1"/>
  <c r="W44" i="1" s="1"/>
  <c r="N44" i="1"/>
  <c r="X44" i="1" s="1"/>
  <c r="L44" i="1"/>
  <c r="P43" i="1"/>
  <c r="N43" i="1"/>
  <c r="W42" i="1"/>
  <c r="X42" i="1" s="1"/>
  <c r="U42" i="1"/>
  <c r="P42" i="1"/>
  <c r="T42" i="1" s="1"/>
  <c r="N42" i="1"/>
  <c r="V41" i="1"/>
  <c r="T41" i="1"/>
  <c r="W41" i="1" s="1"/>
  <c r="X41" i="1" s="1"/>
  <c r="O41" i="1"/>
  <c r="N41" i="1"/>
  <c r="V40" i="1"/>
  <c r="T40" i="1"/>
  <c r="W40" i="1" s="1"/>
  <c r="X40" i="1" s="1"/>
  <c r="N40" i="1"/>
  <c r="W39" i="1"/>
  <c r="X39" i="1" s="1"/>
  <c r="U39" i="1"/>
  <c r="P39" i="1"/>
  <c r="O39" i="1"/>
  <c r="T39" i="1" s="1"/>
  <c r="N39" i="1"/>
  <c r="V38" i="1"/>
  <c r="W38" i="1" s="1"/>
  <c r="X38" i="1" s="1"/>
  <c r="T38" i="1"/>
  <c r="I38" i="1"/>
  <c r="N38" i="1" s="1"/>
  <c r="V37" i="1"/>
  <c r="T37" i="1"/>
  <c r="L37" i="1"/>
  <c r="I37" i="1"/>
  <c r="N37" i="1" s="1"/>
  <c r="V36" i="1"/>
  <c r="T36" i="1"/>
  <c r="W36" i="1" s="1"/>
  <c r="X36" i="1" s="1"/>
  <c r="N36" i="1"/>
  <c r="T35" i="1"/>
  <c r="L35" i="1"/>
  <c r="I35" i="1" s="1"/>
  <c r="V35" i="1" s="1"/>
  <c r="W35" i="1" s="1"/>
  <c r="P34" i="1"/>
  <c r="N34" i="1"/>
  <c r="V33" i="1"/>
  <c r="P33" i="1"/>
  <c r="T33" i="1" s="1"/>
  <c r="W33" i="1" s="1"/>
  <c r="X33" i="1" s="1"/>
  <c r="N33" i="1"/>
  <c r="J32" i="1"/>
  <c r="J31" i="1"/>
  <c r="V30" i="1"/>
  <c r="T30" i="1"/>
  <c r="P30" i="1"/>
  <c r="N30" i="1"/>
  <c r="V29" i="1"/>
  <c r="T29" i="1"/>
  <c r="W29" i="1" s="1"/>
  <c r="N29" i="1"/>
  <c r="X29" i="1" s="1"/>
  <c r="I29" i="1"/>
  <c r="T28" i="1"/>
  <c r="L28" i="1"/>
  <c r="V28" i="1" s="1"/>
  <c r="W28" i="1" s="1"/>
  <c r="V27" i="1"/>
  <c r="P27" i="1"/>
  <c r="T27" i="1" s="1"/>
  <c r="N27" i="1"/>
  <c r="J27" i="1"/>
  <c r="I27" i="1"/>
  <c r="I26" i="1"/>
  <c r="J26" i="1" s="1"/>
  <c r="P26" i="1" s="1"/>
  <c r="T26" i="1" s="1"/>
  <c r="V25" i="1"/>
  <c r="T25" i="1"/>
  <c r="W25" i="1" s="1"/>
  <c r="X25" i="1" s="1"/>
  <c r="P25" i="1"/>
  <c r="N25" i="1"/>
  <c r="P24" i="1"/>
  <c r="V24" i="1" s="1"/>
  <c r="N24" i="1"/>
  <c r="P23" i="1"/>
  <c r="T23" i="1" s="1"/>
  <c r="N23" i="1"/>
  <c r="T22" i="1"/>
  <c r="P22" i="1"/>
  <c r="N22" i="1"/>
  <c r="L22" i="1"/>
  <c r="I22" i="1"/>
  <c r="V22" i="1" s="1"/>
  <c r="V21" i="1"/>
  <c r="P21" i="1"/>
  <c r="O21" i="1"/>
  <c r="T21" i="1" s="1"/>
  <c r="N21" i="1"/>
  <c r="I21" i="1"/>
  <c r="O20" i="1"/>
  <c r="V20" i="1" s="1"/>
  <c r="N20" i="1"/>
  <c r="I20" i="1"/>
  <c r="O19" i="1"/>
  <c r="V19" i="1" s="1"/>
  <c r="N19" i="1"/>
  <c r="W18" i="1"/>
  <c r="X18" i="1" s="1"/>
  <c r="V18" i="1"/>
  <c r="T18" i="1"/>
  <c r="N18" i="1"/>
  <c r="J17" i="1"/>
  <c r="V16" i="1"/>
  <c r="T16" i="1"/>
  <c r="W16" i="1" s="1"/>
  <c r="X16" i="1" s="1"/>
  <c r="P16" i="1"/>
  <c r="N16" i="1"/>
  <c r="T15" i="1"/>
  <c r="P15" i="1"/>
  <c r="V15" i="1" s="1"/>
  <c r="N15" i="1"/>
  <c r="P14" i="1"/>
  <c r="V14" i="1" s="1"/>
  <c r="O14" i="1"/>
  <c r="N14" i="1"/>
  <c r="P13" i="1"/>
  <c r="O13" i="1"/>
  <c r="N13" i="1"/>
  <c r="P12" i="1"/>
  <c r="T12" i="1" s="1"/>
  <c r="N12" i="1"/>
  <c r="V11" i="1"/>
  <c r="W11" i="1" s="1"/>
  <c r="X11" i="1" s="1"/>
  <c r="T11" i="1"/>
  <c r="O11" i="1"/>
  <c r="N11" i="1"/>
  <c r="P10" i="1"/>
  <c r="O10" i="1"/>
  <c r="N10" i="1"/>
  <c r="I10" i="1"/>
  <c r="X28" i="1" l="1"/>
  <c r="X35" i="1"/>
  <c r="X126" i="1"/>
  <c r="W48" i="1"/>
  <c r="X48" i="1" s="1"/>
  <c r="P31" i="1"/>
  <c r="T31" i="1" s="1"/>
  <c r="N31" i="1"/>
  <c r="W62" i="1"/>
  <c r="X62" i="1" s="1"/>
  <c r="W22" i="1"/>
  <c r="X22" i="1" s="1"/>
  <c r="V48" i="1"/>
  <c r="W51" i="1"/>
  <c r="X51" i="1" s="1"/>
  <c r="W79" i="1"/>
  <c r="X79" i="1" s="1"/>
  <c r="U84" i="1"/>
  <c r="I84" i="1"/>
  <c r="T14" i="1"/>
  <c r="W15" i="1"/>
  <c r="X15" i="1" s="1"/>
  <c r="T24" i="1"/>
  <c r="W37" i="1"/>
  <c r="X37" i="1" s="1"/>
  <c r="M196" i="1"/>
  <c r="N63" i="1"/>
  <c r="X63" i="1" s="1"/>
  <c r="W144" i="1"/>
  <c r="X144" i="1" s="1"/>
  <c r="N49" i="1"/>
  <c r="J196" i="1"/>
  <c r="N17" i="1"/>
  <c r="W70" i="1"/>
  <c r="X70" i="1" s="1"/>
  <c r="W86" i="1"/>
  <c r="X86" i="1" s="1"/>
  <c r="W94" i="1"/>
  <c r="X94" i="1" s="1"/>
  <c r="P115" i="1"/>
  <c r="T115" i="1" s="1"/>
  <c r="N115" i="1"/>
  <c r="V115" i="1"/>
  <c r="T10" i="1"/>
  <c r="T13" i="1"/>
  <c r="P17" i="1"/>
  <c r="T17" i="1" s="1"/>
  <c r="T20" i="1"/>
  <c r="W21" i="1"/>
  <c r="X21" i="1" s="1"/>
  <c r="N26" i="1"/>
  <c r="W30" i="1"/>
  <c r="X30" i="1" s="1"/>
  <c r="V34" i="1"/>
  <c r="T34" i="1"/>
  <c r="V46" i="1"/>
  <c r="W46" i="1" s="1"/>
  <c r="X46" i="1" s="1"/>
  <c r="W61" i="1"/>
  <c r="X61" i="1" s="1"/>
  <c r="W65" i="1"/>
  <c r="X65" i="1" s="1"/>
  <c r="V80" i="1"/>
  <c r="T80" i="1"/>
  <c r="W100" i="1"/>
  <c r="X100" i="1" s="1"/>
  <c r="W113" i="1"/>
  <c r="X113" i="1" s="1"/>
  <c r="P32" i="1"/>
  <c r="T32" i="1" s="1"/>
  <c r="N32" i="1"/>
  <c r="V52" i="1"/>
  <c r="T52" i="1"/>
  <c r="W90" i="1"/>
  <c r="X90" i="1" s="1"/>
  <c r="V10" i="1"/>
  <c r="V32" i="1"/>
  <c r="U43" i="1"/>
  <c r="U196" i="1" s="1"/>
  <c r="T43" i="1"/>
  <c r="P49" i="1"/>
  <c r="T49" i="1" s="1"/>
  <c r="V60" i="1"/>
  <c r="W60" i="1" s="1"/>
  <c r="X60" i="1" s="1"/>
  <c r="N60" i="1"/>
  <c r="W74" i="1"/>
  <c r="X74" i="1" s="1"/>
  <c r="W78" i="1"/>
  <c r="X78" i="1" s="1"/>
  <c r="V89" i="1"/>
  <c r="T89" i="1"/>
  <c r="X96" i="1"/>
  <c r="W98" i="1"/>
  <c r="X98" i="1" s="1"/>
  <c r="X106" i="1"/>
  <c r="V13" i="1"/>
  <c r="T19" i="1"/>
  <c r="L196" i="1"/>
  <c r="V23" i="1"/>
  <c r="W23" i="1" s="1"/>
  <c r="X23" i="1" s="1"/>
  <c r="W27" i="1"/>
  <c r="X27" i="1" s="1"/>
  <c r="N48" i="1"/>
  <c r="W56" i="1"/>
  <c r="X56" i="1" s="1"/>
  <c r="V58" i="1"/>
  <c r="T58" i="1"/>
  <c r="V76" i="1"/>
  <c r="U81" i="1"/>
  <c r="V81" i="1" s="1"/>
  <c r="W81" i="1" s="1"/>
  <c r="N81" i="1"/>
  <c r="V87" i="1"/>
  <c r="T87" i="1"/>
  <c r="N101" i="1"/>
  <c r="V101" i="1"/>
  <c r="P107" i="1"/>
  <c r="T107" i="1" s="1"/>
  <c r="N128" i="1"/>
  <c r="V128" i="1"/>
  <c r="W128" i="1" s="1"/>
  <c r="X128" i="1" s="1"/>
  <c r="V136" i="1"/>
  <c r="T136" i="1"/>
  <c r="N75" i="1"/>
  <c r="V75" i="1"/>
  <c r="W75" i="1" s="1"/>
  <c r="X75" i="1" s="1"/>
  <c r="W95" i="1"/>
  <c r="X95" i="1" s="1"/>
  <c r="I196" i="1"/>
  <c r="V12" i="1"/>
  <c r="W12" i="1" s="1"/>
  <c r="X12" i="1" s="1"/>
  <c r="N28" i="1"/>
  <c r="N35" i="1"/>
  <c r="W45" i="1"/>
  <c r="X45" i="1" s="1"/>
  <c r="T53" i="1"/>
  <c r="W85" i="1"/>
  <c r="X85" i="1" s="1"/>
  <c r="N92" i="1"/>
  <c r="V92" i="1"/>
  <c r="V129" i="1"/>
  <c r="W129" i="1" s="1"/>
  <c r="X129" i="1" s="1"/>
  <c r="N129" i="1"/>
  <c r="W175" i="1"/>
  <c r="X175" i="1" s="1"/>
  <c r="V31" i="1"/>
  <c r="V26" i="1"/>
  <c r="W26" i="1" s="1"/>
  <c r="X26" i="1" s="1"/>
  <c r="N46" i="1"/>
  <c r="W69" i="1"/>
  <c r="X69" i="1" s="1"/>
  <c r="T72" i="1"/>
  <c r="V119" i="1"/>
  <c r="W119" i="1" s="1"/>
  <c r="X119" i="1" s="1"/>
  <c r="V123" i="1"/>
  <c r="W123" i="1" s="1"/>
  <c r="X123" i="1" s="1"/>
  <c r="W141" i="1"/>
  <c r="X141" i="1" s="1"/>
  <c r="N145" i="1"/>
  <c r="V145" i="1"/>
  <c r="W145" i="1" s="1"/>
  <c r="X145" i="1" s="1"/>
  <c r="W146" i="1"/>
  <c r="X146" i="1" s="1"/>
  <c r="X152" i="1"/>
  <c r="X166" i="1"/>
  <c r="W172" i="1"/>
  <c r="X172" i="1" s="1"/>
  <c r="V182" i="1"/>
  <c r="T182" i="1"/>
  <c r="V186" i="1"/>
  <c r="T186" i="1"/>
  <c r="X190" i="1"/>
  <c r="V193" i="1"/>
  <c r="W193" i="1" s="1"/>
  <c r="N193" i="1"/>
  <c r="W195" i="1"/>
  <c r="X195" i="1" s="1"/>
  <c r="W137" i="1"/>
  <c r="X137" i="1" s="1"/>
  <c r="W143" i="1"/>
  <c r="X143" i="1" s="1"/>
  <c r="V155" i="1"/>
  <c r="W157" i="1"/>
  <c r="X157" i="1" s="1"/>
  <c r="W153" i="1"/>
  <c r="X153" i="1" s="1"/>
  <c r="V163" i="1"/>
  <c r="T163" i="1"/>
  <c r="V167" i="1"/>
  <c r="T167" i="1"/>
  <c r="W169" i="1"/>
  <c r="X169" i="1" s="1"/>
  <c r="W176" i="1"/>
  <c r="W191" i="1"/>
  <c r="X191" i="1" s="1"/>
  <c r="W92" i="1"/>
  <c r="N127" i="1"/>
  <c r="W151" i="1"/>
  <c r="X151" i="1" s="1"/>
  <c r="W189" i="1"/>
  <c r="X189" i="1" s="1"/>
  <c r="O196" i="1"/>
  <c r="V59" i="1"/>
  <c r="W59" i="1" s="1"/>
  <c r="X59" i="1" s="1"/>
  <c r="W76" i="1"/>
  <c r="X76" i="1" s="1"/>
  <c r="W102" i="1"/>
  <c r="X102" i="1" s="1"/>
  <c r="W118" i="1"/>
  <c r="X118" i="1" s="1"/>
  <c r="W122" i="1"/>
  <c r="X122" i="1" s="1"/>
  <c r="W130" i="1"/>
  <c r="X130" i="1" s="1"/>
  <c r="W134" i="1"/>
  <c r="X134" i="1" s="1"/>
  <c r="W140" i="1"/>
  <c r="X140" i="1" s="1"/>
  <c r="W147" i="1"/>
  <c r="X147" i="1" s="1"/>
  <c r="V153" i="1"/>
  <c r="V171" i="1"/>
  <c r="T171" i="1"/>
  <c r="W183" i="1"/>
  <c r="X183" i="1" s="1"/>
  <c r="V185" i="1"/>
  <c r="T185" i="1"/>
  <c r="V194" i="1"/>
  <c r="T194" i="1"/>
  <c r="W138" i="1"/>
  <c r="X138" i="1" s="1"/>
  <c r="W142" i="1"/>
  <c r="X142" i="1" s="1"/>
  <c r="V154" i="1"/>
  <c r="T154" i="1"/>
  <c r="W164" i="1"/>
  <c r="X164" i="1" s="1"/>
  <c r="V175" i="1"/>
  <c r="V184" i="1"/>
  <c r="W184" i="1" s="1"/>
  <c r="X184" i="1" s="1"/>
  <c r="N184" i="1"/>
  <c r="W101" i="1"/>
  <c r="X101" i="1" s="1"/>
  <c r="T121" i="1"/>
  <c r="N126" i="1"/>
  <c r="W131" i="1"/>
  <c r="X131" i="1" s="1"/>
  <c r="V150" i="1"/>
  <c r="T150" i="1"/>
  <c r="V127" i="1"/>
  <c r="W127" i="1" s="1"/>
  <c r="X127" i="1" s="1"/>
  <c r="T133" i="1"/>
  <c r="T155" i="1"/>
  <c r="T156" i="1"/>
  <c r="T168" i="1"/>
  <c r="N109" i="1"/>
  <c r="X109" i="1" s="1"/>
  <c r="T149" i="1"/>
  <c r="T162" i="1"/>
  <c r="N176" i="1"/>
  <c r="N178" i="1"/>
  <c r="X178" i="1" s="1"/>
  <c r="T179" i="1"/>
  <c r="T181" i="1"/>
  <c r="T188" i="1"/>
  <c r="T160" i="1"/>
  <c r="T161" i="1"/>
  <c r="T174" i="1"/>
  <c r="T180" i="1"/>
  <c r="T187" i="1"/>
  <c r="T196" i="1" l="1"/>
  <c r="W10" i="1"/>
  <c r="W174" i="1"/>
  <c r="X174" i="1" s="1"/>
  <c r="W32" i="1"/>
  <c r="X32" i="1" s="1"/>
  <c r="W24" i="1"/>
  <c r="X24" i="1" s="1"/>
  <c r="Y161" i="1"/>
  <c r="W161" i="1"/>
  <c r="X161" i="1" s="1"/>
  <c r="W162" i="1"/>
  <c r="X162" i="1" s="1"/>
  <c r="X81" i="1"/>
  <c r="V49" i="1"/>
  <c r="W160" i="1"/>
  <c r="X160" i="1" s="1"/>
  <c r="W149" i="1"/>
  <c r="X149" i="1" s="1"/>
  <c r="X92" i="1"/>
  <c r="W167" i="1"/>
  <c r="X167" i="1" s="1"/>
  <c r="W182" i="1"/>
  <c r="X182" i="1" s="1"/>
  <c r="W53" i="1"/>
  <c r="X53" i="1" s="1"/>
  <c r="Y53" i="1"/>
  <c r="V107" i="1"/>
  <c r="W115" i="1"/>
  <c r="X115" i="1" s="1"/>
  <c r="V17" i="1"/>
  <c r="W14" i="1"/>
  <c r="X14" i="1" s="1"/>
  <c r="Y168" i="1"/>
  <c r="W168" i="1"/>
  <c r="X168" i="1" s="1"/>
  <c r="W171" i="1"/>
  <c r="X171" i="1" s="1"/>
  <c r="W58" i="1"/>
  <c r="X58" i="1" s="1"/>
  <c r="W107" i="1"/>
  <c r="X107" i="1" s="1"/>
  <c r="W188" i="1"/>
  <c r="X188" i="1" s="1"/>
  <c r="X193" i="1"/>
  <c r="W72" i="1"/>
  <c r="X72" i="1" s="1"/>
  <c r="W89" i="1"/>
  <c r="X89" i="1" s="1"/>
  <c r="Y156" i="1"/>
  <c r="W156" i="1"/>
  <c r="X156" i="1" s="1"/>
  <c r="W19" i="1"/>
  <c r="X19" i="1" s="1"/>
  <c r="W20" i="1"/>
  <c r="X20" i="1" s="1"/>
  <c r="P196" i="1"/>
  <c r="V84" i="1"/>
  <c r="W84" i="1" s="1"/>
  <c r="N84" i="1"/>
  <c r="N196" i="1" s="1"/>
  <c r="W31" i="1"/>
  <c r="X31" i="1" s="1"/>
  <c r="W181" i="1"/>
  <c r="X181" i="1" s="1"/>
  <c r="W155" i="1"/>
  <c r="X155" i="1" s="1"/>
  <c r="W194" i="1"/>
  <c r="X194" i="1" s="1"/>
  <c r="Y194" i="1"/>
  <c r="W163" i="1"/>
  <c r="X163" i="1" s="1"/>
  <c r="W49" i="1"/>
  <c r="X49" i="1" s="1"/>
  <c r="W52" i="1"/>
  <c r="X52" i="1" s="1"/>
  <c r="W17" i="1"/>
  <c r="X17" i="1" s="1"/>
  <c r="Y17" i="1"/>
  <c r="Y187" i="1"/>
  <c r="W187" i="1"/>
  <c r="X187" i="1" s="1"/>
  <c r="W179" i="1"/>
  <c r="X179" i="1" s="1"/>
  <c r="W121" i="1"/>
  <c r="X121" i="1" s="1"/>
  <c r="X176" i="1"/>
  <c r="W186" i="1"/>
  <c r="X186" i="1" s="1"/>
  <c r="Y186" i="1"/>
  <c r="W136" i="1"/>
  <c r="X136" i="1" s="1"/>
  <c r="W87" i="1"/>
  <c r="X87" i="1" s="1"/>
  <c r="W43" i="1"/>
  <c r="X43" i="1" s="1"/>
  <c r="Y80" i="1"/>
  <c r="W80" i="1"/>
  <c r="X80" i="1" s="1"/>
  <c r="W34" i="1"/>
  <c r="X34" i="1" s="1"/>
  <c r="W13" i="1"/>
  <c r="X13" i="1" s="1"/>
  <c r="W154" i="1"/>
  <c r="X154" i="1" s="1"/>
  <c r="Y180" i="1"/>
  <c r="W180" i="1"/>
  <c r="X180" i="1" s="1"/>
  <c r="W133" i="1"/>
  <c r="X133" i="1" s="1"/>
  <c r="W185" i="1"/>
  <c r="X185" i="1" s="1"/>
  <c r="Y185" i="1"/>
  <c r="W150" i="1"/>
  <c r="X150" i="1" s="1"/>
  <c r="Y175" i="1" l="1"/>
  <c r="Y122" i="1"/>
  <c r="Y118" i="1"/>
  <c r="Y111" i="1"/>
  <c r="Y104" i="1"/>
  <c r="Y147" i="1"/>
  <c r="Y134" i="1"/>
  <c r="Y64" i="1"/>
  <c r="Y157" i="1"/>
  <c r="Y143" i="1"/>
  <c r="Y82" i="1"/>
  <c r="Y158" i="1"/>
  <c r="Y177" i="1"/>
  <c r="Y91" i="1"/>
  <c r="Y55" i="1"/>
  <c r="Y35" i="1"/>
  <c r="Y54" i="1"/>
  <c r="Y41" i="1"/>
  <c r="Y36" i="1"/>
  <c r="Y56" i="1"/>
  <c r="Y109" i="1"/>
  <c r="Y76" i="1"/>
  <c r="Y69" i="1"/>
  <c r="Y102" i="1"/>
  <c r="Y67" i="1"/>
  <c r="Y84" i="1"/>
  <c r="Y44" i="1"/>
  <c r="Y11" i="1"/>
  <c r="Y45" i="1"/>
  <c r="Y22" i="1"/>
  <c r="Y37" i="1"/>
  <c r="Y127" i="1"/>
  <c r="Y108" i="1"/>
  <c r="Y92" i="1"/>
  <c r="Y114" i="1"/>
  <c r="Y97" i="1"/>
  <c r="Y75" i="1"/>
  <c r="Y101" i="1"/>
  <c r="Y60" i="1"/>
  <c r="Y29" i="1"/>
  <c r="Y30" i="1"/>
  <c r="Y85" i="1"/>
  <c r="Y148" i="1"/>
  <c r="Y184" i="1"/>
  <c r="Y124" i="1"/>
  <c r="Y153" i="1"/>
  <c r="Y81" i="1"/>
  <c r="Y140" i="1"/>
  <c r="Y112" i="1"/>
  <c r="Y74" i="1"/>
  <c r="Y38" i="1"/>
  <c r="Y117" i="1"/>
  <c r="Y25" i="1"/>
  <c r="Y70" i="1"/>
  <c r="Y137" i="1"/>
  <c r="Y48" i="1"/>
  <c r="Y18" i="1"/>
  <c r="Y96" i="1"/>
  <c r="Y129" i="1"/>
  <c r="Y86" i="1"/>
  <c r="Y78" i="1"/>
  <c r="Y132" i="1"/>
  <c r="Y141" i="1"/>
  <c r="Y130" i="1"/>
  <c r="Y164" i="1"/>
  <c r="Y166" i="1"/>
  <c r="Y135" i="1"/>
  <c r="Y178" i="1"/>
  <c r="Y46" i="1"/>
  <c r="Y21" i="1"/>
  <c r="Y39" i="1"/>
  <c r="Y12" i="1"/>
  <c r="Y33" i="1"/>
  <c r="Y172" i="1"/>
  <c r="Y191" i="1"/>
  <c r="Y145" i="1"/>
  <c r="Y119" i="1"/>
  <c r="Y190" i="1"/>
  <c r="Y192" i="1"/>
  <c r="Y15" i="1"/>
  <c r="Y40" i="1"/>
  <c r="Y144" i="1"/>
  <c r="Y165" i="1"/>
  <c r="Y120" i="1"/>
  <c r="Y138" i="1"/>
  <c r="Y28" i="1"/>
  <c r="Y47" i="1"/>
  <c r="Y90" i="1"/>
  <c r="Y77" i="1"/>
  <c r="Y100" i="1"/>
  <c r="Y50" i="1"/>
  <c r="Y151" i="1"/>
  <c r="Y128" i="1"/>
  <c r="Y66" i="1"/>
  <c r="Y94" i="1"/>
  <c r="Y106" i="1"/>
  <c r="Y68" i="1"/>
  <c r="Y63" i="1"/>
  <c r="Y71" i="1"/>
  <c r="Y139" i="1"/>
  <c r="Y131" i="1"/>
  <c r="Y93" i="1"/>
  <c r="Y26" i="1"/>
  <c r="Y51" i="1"/>
  <c r="Y42" i="1"/>
  <c r="Y57" i="1"/>
  <c r="Y61" i="1"/>
  <c r="Y103" i="1"/>
  <c r="Y146" i="1"/>
  <c r="Y195" i="1"/>
  <c r="Y170" i="1"/>
  <c r="Y159" i="1"/>
  <c r="Y73" i="1"/>
  <c r="Y183" i="1"/>
  <c r="Y142" i="1"/>
  <c r="Y99" i="1"/>
  <c r="Y105" i="1"/>
  <c r="Y62" i="1"/>
  <c r="Y16" i="1"/>
  <c r="Y27" i="1"/>
  <c r="Y113" i="1"/>
  <c r="Y23" i="1"/>
  <c r="Y95" i="1"/>
  <c r="Y110" i="1"/>
  <c r="Y193" i="1"/>
  <c r="Y169" i="1"/>
  <c r="Y116" i="1"/>
  <c r="Y189" i="1"/>
  <c r="Y126" i="1"/>
  <c r="Y59" i="1"/>
  <c r="Y123" i="1"/>
  <c r="Y65" i="1"/>
  <c r="Y98" i="1"/>
  <c r="Y125" i="1"/>
  <c r="Y79" i="1"/>
  <c r="Y88" i="1"/>
  <c r="Y176" i="1"/>
  <c r="Y152" i="1"/>
  <c r="Y173" i="1"/>
  <c r="Y83" i="1"/>
  <c r="Y150" i="1"/>
  <c r="X84" i="1"/>
  <c r="Y107" i="1"/>
  <c r="Y14" i="1"/>
  <c r="Y182" i="1"/>
  <c r="Y160" i="1"/>
  <c r="Y24" i="1"/>
  <c r="Y154" i="1"/>
  <c r="Y43" i="1"/>
  <c r="Y121" i="1"/>
  <c r="Y89" i="1"/>
  <c r="Y58" i="1"/>
  <c r="Y32" i="1"/>
  <c r="W196" i="1"/>
  <c r="X10" i="1"/>
  <c r="X196" i="1" s="1"/>
  <c r="Y52" i="1"/>
  <c r="Y155" i="1"/>
  <c r="Y72" i="1"/>
  <c r="Y115" i="1"/>
  <c r="Y13" i="1"/>
  <c r="Y87" i="1"/>
  <c r="Y179" i="1"/>
  <c r="Y49" i="1"/>
  <c r="Y181" i="1"/>
  <c r="Y20" i="1"/>
  <c r="Y167" i="1"/>
  <c r="Y162" i="1"/>
  <c r="Y136" i="1"/>
  <c r="Y171" i="1"/>
  <c r="V196" i="1"/>
  <c r="Y174" i="1"/>
  <c r="Y133" i="1"/>
  <c r="Y34" i="1"/>
  <c r="Y163" i="1"/>
  <c r="Y31" i="1"/>
  <c r="Y19" i="1"/>
  <c r="Y188" i="1"/>
  <c r="Y149" i="1"/>
  <c r="Y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cayas</author>
  </authors>
  <commentList>
    <comment ref="D47" authorId="0" shapeId="0" xr:uid="{00EFF851-8835-4758-843B-1738C0B2729A}">
      <text>
        <r>
          <rPr>
            <b/>
            <sz val="9"/>
            <color indexed="81"/>
            <rFont val="Tahoma"/>
            <family val="2"/>
          </rPr>
          <t>cayas:</t>
        </r>
        <r>
          <rPr>
            <sz val="9"/>
            <color indexed="81"/>
            <rFont val="Tahoma"/>
            <family val="2"/>
          </rPr>
          <t xml:space="preserve">
no receipts of payment made. Only loan shedule is attached</t>
        </r>
      </text>
    </comment>
  </commentList>
</comments>
</file>

<file path=xl/sharedStrings.xml><?xml version="1.0" encoding="utf-8"?>
<sst xmlns="http://schemas.openxmlformats.org/spreadsheetml/2006/main" count="1121" uniqueCount="619">
  <si>
    <t>Sheltrex Karjat Pvt Ltd.</t>
  </si>
  <si>
    <t>Claims received in Class- Home Buyer</t>
  </si>
  <si>
    <t>Considering claim received upto 20th February, 2023</t>
  </si>
  <si>
    <t>List of Claim of financial creditor and Authorised representative</t>
  </si>
  <si>
    <t xml:space="preserve">Amount of Claim </t>
  </si>
  <si>
    <t xml:space="preserve">Claim Admitted </t>
  </si>
  <si>
    <t>Sr. No.</t>
  </si>
  <si>
    <t>Date of Receipt and No.</t>
  </si>
  <si>
    <t xml:space="preserve">Name </t>
  </si>
  <si>
    <t>Project Name</t>
  </si>
  <si>
    <t>Building No.</t>
  </si>
  <si>
    <t>Flat No.</t>
  </si>
  <si>
    <t>Mail ID</t>
  </si>
  <si>
    <t>Principal (In Rs.)</t>
  </si>
  <si>
    <t>Interest (In Rs.)</t>
  </si>
  <si>
    <t>Taxes (In Rs.)</t>
  </si>
  <si>
    <t>Stamp duty &amp; Reg fee (In Rs.)</t>
  </si>
  <si>
    <t>Others (In Rs.)</t>
  </si>
  <si>
    <t>Total Claim      (In Rs.)</t>
  </si>
  <si>
    <t>Claim Under Process (In Rs.)</t>
  </si>
  <si>
    <t>Claim Rejected (In Rs.)</t>
  </si>
  <si>
    <t>Total</t>
  </si>
  <si>
    <t>Difference</t>
  </si>
  <si>
    <t>% of Vote</t>
  </si>
  <si>
    <t>Proposed Name of AR</t>
  </si>
  <si>
    <t>complete</t>
  </si>
  <si>
    <t>14.02/01</t>
  </si>
  <si>
    <t>Bhaskar Katual</t>
  </si>
  <si>
    <t>Tanaji Malusare City</t>
  </si>
  <si>
    <t>C6</t>
  </si>
  <si>
    <t>bhaskar.katual@gmail.com</t>
  </si>
  <si>
    <t>-</t>
  </si>
  <si>
    <t>15.02/01</t>
  </si>
  <si>
    <t>Sujata Mali</t>
  </si>
  <si>
    <t>ESPIRANA</t>
  </si>
  <si>
    <t>Z4</t>
  </si>
  <si>
    <t>mali.prakash220@gmail.com</t>
  </si>
  <si>
    <t>15.02/02</t>
  </si>
  <si>
    <t>Trilochan Kaur Davindar Singh Alag</t>
  </si>
  <si>
    <t>Z6</t>
  </si>
  <si>
    <t>104 &amp; 105</t>
  </si>
  <si>
    <t>trilalag@hotmail.com  alagdsingh@gmail.com</t>
  </si>
  <si>
    <t>Mr. Swapnil Gandhi</t>
  </si>
  <si>
    <t>16.02/01</t>
  </si>
  <si>
    <t>Ajit Sankhe</t>
  </si>
  <si>
    <t>L1</t>
  </si>
  <si>
    <t>ajitsankhe1@hotmail.com</t>
  </si>
  <si>
    <t>Mr. Vishnu Kabra</t>
  </si>
  <si>
    <t>16.02/02</t>
  </si>
  <si>
    <t>Manjiree Sankhe</t>
  </si>
  <si>
    <t>manjireesankhe1@hotmail.com</t>
  </si>
  <si>
    <t>16.02/03</t>
  </si>
  <si>
    <t>Sarvesh Singh</t>
  </si>
  <si>
    <t>M5</t>
  </si>
  <si>
    <t>65sarveshsingh@gmail.com</t>
  </si>
  <si>
    <t>Mr. Ambesh Biyani</t>
  </si>
  <si>
    <t>16.02/04</t>
  </si>
  <si>
    <t>Nagaraju (Form F)</t>
  </si>
  <si>
    <t>naveeg@yahoo.co.uk</t>
  </si>
  <si>
    <t>16.02/05</t>
  </si>
  <si>
    <t>Neelam Shah</t>
  </si>
  <si>
    <t>Y9 &amp; Y8</t>
  </si>
  <si>
    <t>701 &amp; 1308</t>
  </si>
  <si>
    <t>jaypradeep@hotmail.com</t>
  </si>
  <si>
    <t>1. Mr. Vishnu Kabra           2. Mr. Swapnil Gandhi      3. Mr. Ambesh Biyani</t>
  </si>
  <si>
    <t>16.02/06</t>
  </si>
  <si>
    <t>Shobha Hariharan</t>
  </si>
  <si>
    <t>X2, X2 &amp; Y2</t>
  </si>
  <si>
    <t>511, 212 &amp; 1805</t>
  </si>
  <si>
    <t>vivek.hariharan5@gmail.com  shobhalibra14@gmail.com</t>
  </si>
  <si>
    <t>17.02/01</t>
  </si>
  <si>
    <t>Sourabh Agrawal</t>
  </si>
  <si>
    <t>smart phone city project 2</t>
  </si>
  <si>
    <t>sourabh.brjn@gmail.com</t>
  </si>
  <si>
    <t>Ok</t>
  </si>
  <si>
    <t>17.02/02</t>
  </si>
  <si>
    <t>17.02/03</t>
  </si>
  <si>
    <t>Devidas Jethmalani</t>
  </si>
  <si>
    <t>X1</t>
  </si>
  <si>
    <t>devidas11190@yahoo.com</t>
  </si>
  <si>
    <t>17.02/04</t>
  </si>
  <si>
    <t>Mangal Jagtap</t>
  </si>
  <si>
    <t>Y10</t>
  </si>
  <si>
    <t>jagtap.gajanan18@gmail.com</t>
  </si>
  <si>
    <t>17.02/05</t>
  </si>
  <si>
    <t>Kirti Sherlekar</t>
  </si>
  <si>
    <t>kirti_sherlekar@rediffmail.com</t>
  </si>
  <si>
    <t>17.02/06</t>
  </si>
  <si>
    <t>Mustafa Daginawalla</t>
  </si>
  <si>
    <t>V2</t>
  </si>
  <si>
    <t>accounts@saifeehospital.com</t>
  </si>
  <si>
    <t>17.02/07</t>
  </si>
  <si>
    <t>Parag Pore</t>
  </si>
  <si>
    <t>T2</t>
  </si>
  <si>
    <t>poreparag@gmail.com</t>
  </si>
  <si>
    <t>17.02/08</t>
  </si>
  <si>
    <t>Rakesh Kayithi</t>
  </si>
  <si>
    <t>rakeshkayithi@gmail.com</t>
  </si>
  <si>
    <t>17.02/09</t>
  </si>
  <si>
    <t>Sana M. I Jafree</t>
  </si>
  <si>
    <t>Z5</t>
  </si>
  <si>
    <t>mp00786@gmail.com</t>
  </si>
  <si>
    <t>17.02/10</t>
  </si>
  <si>
    <t>Ali Akbar Mukhi</t>
  </si>
  <si>
    <t>banufatema786@gmail.com</t>
  </si>
  <si>
    <t>17.02/11</t>
  </si>
  <si>
    <t>Deepak N Singh</t>
  </si>
  <si>
    <t>dnm1977@gmail.com</t>
  </si>
  <si>
    <t>17.02/12</t>
  </si>
  <si>
    <t>Nikita Chopra</t>
  </si>
  <si>
    <t>nileshchopra84@gmail.com</t>
  </si>
  <si>
    <t>17.02/13</t>
  </si>
  <si>
    <t>Padma Bengali</t>
  </si>
  <si>
    <t>D6</t>
  </si>
  <si>
    <t>bengali.padma@gmail.com</t>
  </si>
  <si>
    <t>17.02/14</t>
  </si>
  <si>
    <t>Pramod Pawaskar</t>
  </si>
  <si>
    <t>F6</t>
  </si>
  <si>
    <t>ppppawaskar@gmail.com</t>
  </si>
  <si>
    <t>17.02/15</t>
  </si>
  <si>
    <t>Mehboob Shaikh</t>
  </si>
  <si>
    <t>faizah.z.m@gmail.com</t>
  </si>
  <si>
    <t>17.02/16</t>
  </si>
  <si>
    <t>Rashmi Khadilkar</t>
  </si>
  <si>
    <t>khadilkar67@gmail.com</t>
  </si>
  <si>
    <t>17.02/17</t>
  </si>
  <si>
    <t>Satyendra Sharma</t>
  </si>
  <si>
    <t>U4</t>
  </si>
  <si>
    <t>satye294@gmail.com</t>
  </si>
  <si>
    <t>18.02/01</t>
  </si>
  <si>
    <t>Pansy Fernandes</t>
  </si>
  <si>
    <t>dynacraft@rediffmail.com</t>
  </si>
  <si>
    <t>18.02/02</t>
  </si>
  <si>
    <t>Kamalanandan Kutty</t>
  </si>
  <si>
    <t>U2</t>
  </si>
  <si>
    <t>kamalanandankrishnan@gmail.com</t>
  </si>
  <si>
    <t>18.02/03</t>
  </si>
  <si>
    <t>J T Kantawala</t>
  </si>
  <si>
    <t>joharkatawala@gmail.com</t>
  </si>
  <si>
    <t>18.02/04</t>
  </si>
  <si>
    <t>Essgee Real Estate Developers Pvt Ltd.</t>
  </si>
  <si>
    <t>info@essgee.net</t>
  </si>
  <si>
    <t>18.02/05</t>
  </si>
  <si>
    <t>Ruchi Khanchandani</t>
  </si>
  <si>
    <t>kmahesh81@gmail.com</t>
  </si>
  <si>
    <t>18.02/06</t>
  </si>
  <si>
    <t>Sunita Sharma</t>
  </si>
  <si>
    <t>sureshnagwan855@gmail.com</t>
  </si>
  <si>
    <t>18.02/07</t>
  </si>
  <si>
    <t>Sarita Kotharti</t>
  </si>
  <si>
    <t>Y12, Y13 &amp; Y13</t>
  </si>
  <si>
    <t>403, 508 &amp; 608</t>
  </si>
  <si>
    <t>groupyashodhan@gmail.com</t>
  </si>
  <si>
    <t>18.02/08</t>
  </si>
  <si>
    <t>Akanksha Kothari</t>
  </si>
  <si>
    <t>Y12</t>
  </si>
  <si>
    <t>404, 506</t>
  </si>
  <si>
    <t>18.02/09</t>
  </si>
  <si>
    <t>Veena Kamath</t>
  </si>
  <si>
    <t>veenadk@hotmail.com</t>
  </si>
  <si>
    <t>18.02/10</t>
  </si>
  <si>
    <t>Anuj Shah</t>
  </si>
  <si>
    <t>Paliso</t>
  </si>
  <si>
    <t>Y14</t>
  </si>
  <si>
    <t>701, 808 &amp; 1104</t>
  </si>
  <si>
    <t>anuj@sgjewel.com</t>
  </si>
  <si>
    <t>18.02/11</t>
  </si>
  <si>
    <t>Suvarna Shinde</t>
  </si>
  <si>
    <t>X3</t>
  </si>
  <si>
    <t>303 &amp; 503</t>
  </si>
  <si>
    <t>drsuvarnashinde@ymail.com</t>
  </si>
  <si>
    <t>18.02/12</t>
  </si>
  <si>
    <t>Swati Palkar</t>
  </si>
  <si>
    <t>X4</t>
  </si>
  <si>
    <t>vikas.palkar3@gmail.com</t>
  </si>
  <si>
    <t>18.02/13</t>
  </si>
  <si>
    <t>Amol Tulse</t>
  </si>
  <si>
    <t>amolninad26@gmail.com</t>
  </si>
  <si>
    <t>18.02/14</t>
  </si>
  <si>
    <t>18.02/15</t>
  </si>
  <si>
    <t>Alpa Kothari</t>
  </si>
  <si>
    <t>Y11</t>
  </si>
  <si>
    <t>405 &amp; 406</t>
  </si>
  <si>
    <t>18.02/16</t>
  </si>
  <si>
    <t>Kamaldev Yadav</t>
  </si>
  <si>
    <t>kamladevyadav1983@gmail.com</t>
  </si>
  <si>
    <t>18.02/17</t>
  </si>
  <si>
    <t>Anil Chaudhary</t>
  </si>
  <si>
    <t>G11</t>
  </si>
  <si>
    <t>canil080863@gmail.com</t>
  </si>
  <si>
    <t>18.02/18</t>
  </si>
  <si>
    <t>Shahnawaz Ansari</t>
  </si>
  <si>
    <t>ashanwaz386@gmail.com</t>
  </si>
  <si>
    <t>18.02/19</t>
  </si>
  <si>
    <t>Daresh Ray</t>
  </si>
  <si>
    <t>dareshrai420@gmail.com</t>
  </si>
  <si>
    <t>18.02/20</t>
  </si>
  <si>
    <t>Rushabh Lad</t>
  </si>
  <si>
    <t>X1,X1,X1,Y13 &amp; Y13</t>
  </si>
  <si>
    <t>403,422,424,1101 &amp; 1103</t>
  </si>
  <si>
    <t>jaimalharinfra@rediffmail.com</t>
  </si>
  <si>
    <t>18.02/21</t>
  </si>
  <si>
    <t>Hitesh Damania</t>
  </si>
  <si>
    <t>hiteshhdamania@yahoo.com</t>
  </si>
  <si>
    <t>18.02/22</t>
  </si>
  <si>
    <t>Nandan Naik</t>
  </si>
  <si>
    <t>dhanvantari.naik@gmail.com</t>
  </si>
  <si>
    <t>18.02/23</t>
  </si>
  <si>
    <t>Vijay Palkar</t>
  </si>
  <si>
    <t>X-4</t>
  </si>
  <si>
    <t>18.02/24</t>
  </si>
  <si>
    <t>Rachana Patki</t>
  </si>
  <si>
    <t>rashmipatki14@gmail.com</t>
  </si>
  <si>
    <t>18.02/25</t>
  </si>
  <si>
    <t>Deepti D'souza</t>
  </si>
  <si>
    <t>dsouzad2408@gmail.com</t>
  </si>
  <si>
    <t>18.02/26</t>
  </si>
  <si>
    <t>Sanjiv Kallur</t>
  </si>
  <si>
    <t>sanjaysk86@gmail.com</t>
  </si>
  <si>
    <t>18.02/27</t>
  </si>
  <si>
    <t>Salima Merchant</t>
  </si>
  <si>
    <t>merchantproperties123@gmail.com</t>
  </si>
  <si>
    <t>18.02/28</t>
  </si>
  <si>
    <t>Rajendra Jadhav</t>
  </si>
  <si>
    <t>D1</t>
  </si>
  <si>
    <t>rajendra742010@gmail.com</t>
  </si>
  <si>
    <t>18.02/29</t>
  </si>
  <si>
    <t>Mahesh Vichare</t>
  </si>
  <si>
    <t>vicharemahesh63@yahoo.in</t>
  </si>
  <si>
    <t>18.02/30</t>
  </si>
  <si>
    <t>Gatla Gangadhar</t>
  </si>
  <si>
    <t>gatlasreevan@gmail.com</t>
  </si>
  <si>
    <t>18.02/31</t>
  </si>
  <si>
    <t>Shraddha Habde</t>
  </si>
  <si>
    <t>shraddhahabde8@gmail.com</t>
  </si>
  <si>
    <t>Pending</t>
  </si>
  <si>
    <t>18.02/32</t>
  </si>
  <si>
    <t>Teresa Lin Realty LLP</t>
  </si>
  <si>
    <t>teresa.realtyllp@gmail.com</t>
  </si>
  <si>
    <t>19.02/01</t>
  </si>
  <si>
    <t>Jaya Shreenivasan</t>
  </si>
  <si>
    <t>jaya.sreeni@gmail.com</t>
  </si>
  <si>
    <t>19.02/02</t>
  </si>
  <si>
    <t>19.02/03</t>
  </si>
  <si>
    <t>Dharamdas Issrani</t>
  </si>
  <si>
    <t>issranidharam@gmail.com</t>
  </si>
  <si>
    <t>19.02/04</t>
  </si>
  <si>
    <t>Brijesh Gupta</t>
  </si>
  <si>
    <t>307 &amp; 308</t>
  </si>
  <si>
    <t>brijesh_kumar2121@yahoo.co.in</t>
  </si>
  <si>
    <t>19.02/05</t>
  </si>
  <si>
    <t>Sean Pereira</t>
  </si>
  <si>
    <t>seanper46@yahoo.com</t>
  </si>
  <si>
    <t>19.02/06</t>
  </si>
  <si>
    <t>Ramgulab Gupta</t>
  </si>
  <si>
    <t>rg.gupta619@gmail.com</t>
  </si>
  <si>
    <t>19.02/07</t>
  </si>
  <si>
    <t>Salman Khan</t>
  </si>
  <si>
    <t>salmankhan183@yahoomail.com</t>
  </si>
  <si>
    <t>19.02/08</t>
  </si>
  <si>
    <t>19.02/09</t>
  </si>
  <si>
    <t>Poonam patil</t>
  </si>
  <si>
    <t>p7.rahul@gmail.com</t>
  </si>
  <si>
    <t>19.02/10</t>
  </si>
  <si>
    <t>Stephen Gaikwad</t>
  </si>
  <si>
    <t>P4</t>
  </si>
  <si>
    <t>stephen.a.gaikwad21@gmail.com romans12v21@gmail.com</t>
  </si>
  <si>
    <t>19.02/11</t>
  </si>
  <si>
    <t>Rashmi Naik</t>
  </si>
  <si>
    <t>D10</t>
  </si>
  <si>
    <t>mirash99@gmail.com</t>
  </si>
  <si>
    <t>19.02/12</t>
  </si>
  <si>
    <t>19.02/13</t>
  </si>
  <si>
    <t>Mohana Aryamane</t>
  </si>
  <si>
    <t>mohana.aryamane@gmail.com</t>
  </si>
  <si>
    <t>20.02/01</t>
  </si>
  <si>
    <t>Janak Khona</t>
  </si>
  <si>
    <t>gte_mum06@rediffmail.com</t>
  </si>
  <si>
    <t>20.02/02</t>
  </si>
  <si>
    <t>20.02/03</t>
  </si>
  <si>
    <t>Ditto Nadar</t>
  </si>
  <si>
    <t>dittonadar@gmail.com</t>
  </si>
  <si>
    <t>20.02/04</t>
  </si>
  <si>
    <t>Deepali Dhomane</t>
  </si>
  <si>
    <t>deepalidhomane@gmail.com</t>
  </si>
  <si>
    <t>20.02/05</t>
  </si>
  <si>
    <t>Aafreen Merchant</t>
  </si>
  <si>
    <t>Y13</t>
  </si>
  <si>
    <t>afimerchant@yahoo.com</t>
  </si>
  <si>
    <t>20.02/06</t>
  </si>
  <si>
    <t>Mumtaz Ali</t>
  </si>
  <si>
    <t>20.02/07</t>
  </si>
  <si>
    <t>Gulshan Lakdawala</t>
  </si>
  <si>
    <t>20.02/08</t>
  </si>
  <si>
    <t>Shahabaaz Shaikh</t>
  </si>
  <si>
    <t>shaikhshahabaaz@yahoo.co.in</t>
  </si>
  <si>
    <t>20.02/09</t>
  </si>
  <si>
    <t>Amin Merchant</t>
  </si>
  <si>
    <t>D7</t>
  </si>
  <si>
    <t>20.02/10</t>
  </si>
  <si>
    <t>Arzoo Merchant</t>
  </si>
  <si>
    <t>E7</t>
  </si>
  <si>
    <t>arzoomerchant2@gmail.com</t>
  </si>
  <si>
    <t>20.02/11</t>
  </si>
  <si>
    <t>Sumeetkumar Surana</t>
  </si>
  <si>
    <t>sumsur@hotmail.com</t>
  </si>
  <si>
    <t>20.02/12</t>
  </si>
  <si>
    <t>Vijay Punyarthi</t>
  </si>
  <si>
    <t>vijaypunyarthi26@gmail.com</t>
  </si>
  <si>
    <t>20.02/13</t>
  </si>
  <si>
    <t>Leelmma Alphonso</t>
  </si>
  <si>
    <t>frank15alphonso@gmail.com</t>
  </si>
  <si>
    <t>20.02/14</t>
  </si>
  <si>
    <t>Kaluram Prajapat</t>
  </si>
  <si>
    <t>kamleshprajapat378@gmail.com</t>
  </si>
  <si>
    <t>20.02/15</t>
  </si>
  <si>
    <t>Sanjeev Mahagaonkar</t>
  </si>
  <si>
    <t>sanjeev.mahagaonkar02@gmail.com</t>
  </si>
  <si>
    <t>20.02/16</t>
  </si>
  <si>
    <t>Shachee Shah</t>
  </si>
  <si>
    <t>20.02/17</t>
  </si>
  <si>
    <t>Lalit Bakre</t>
  </si>
  <si>
    <t>lalit4app75@gmail.com</t>
  </si>
  <si>
    <t>20.02/18</t>
  </si>
  <si>
    <t>Rehana Merchant</t>
  </si>
  <si>
    <t>arehana_2004@yahoo.com</t>
  </si>
  <si>
    <t>20.02/19</t>
  </si>
  <si>
    <t>Ajay Jha</t>
  </si>
  <si>
    <t>ajayjha1234@yahoo.co.in</t>
  </si>
  <si>
    <t>20.02/20</t>
  </si>
  <si>
    <t>Nira Jha</t>
  </si>
  <si>
    <t>nirajha1512@gmail.com</t>
  </si>
  <si>
    <t>20.02/21</t>
  </si>
  <si>
    <t>Sandeep Sinku</t>
  </si>
  <si>
    <t>sandeep.sinku@yahoo.in</t>
  </si>
  <si>
    <t>20.02/22</t>
  </si>
  <si>
    <t>Lakshmi Venkatgiri</t>
  </si>
  <si>
    <t>lakshmi.venkatgiri@gmail.com</t>
  </si>
  <si>
    <t>20.02/23</t>
  </si>
  <si>
    <t>Rupali Shelar</t>
  </si>
  <si>
    <t>T4</t>
  </si>
  <si>
    <t>shelarsa@gmail.com</t>
  </si>
  <si>
    <t>20.02/24</t>
  </si>
  <si>
    <t>Sandeep Suvarna</t>
  </si>
  <si>
    <t>sandeep.suvarna16@gmail.com</t>
  </si>
  <si>
    <t>20.02/25</t>
  </si>
  <si>
    <t>Sapna Mishra</t>
  </si>
  <si>
    <t>ayushmishra2502@gmail.com</t>
  </si>
  <si>
    <t>20.02/26</t>
  </si>
  <si>
    <t>Beeny Kunjappy</t>
  </si>
  <si>
    <t>bennykgeorge@gmail.com</t>
  </si>
  <si>
    <t>20.02/27</t>
  </si>
  <si>
    <t>Santosh Deshmukh</t>
  </si>
  <si>
    <t>deshmukh_santosh@rediffmail.com</t>
  </si>
  <si>
    <t>20.02/28</t>
  </si>
  <si>
    <t>Mohammed Shoeb Mohammed Hussein Khan</t>
  </si>
  <si>
    <t>khan.shoeb12@gmail.com</t>
  </si>
  <si>
    <t>20.02/29</t>
  </si>
  <si>
    <t>Akshaya Malaviya</t>
  </si>
  <si>
    <t>akshayamalaviya@yahoo.com</t>
  </si>
  <si>
    <t>20.02/30</t>
  </si>
  <si>
    <t>Shaukat Sayani</t>
  </si>
  <si>
    <t>sunnysayani@aol.com</t>
  </si>
  <si>
    <t>20.02/31</t>
  </si>
  <si>
    <t>Shaahin Sayani</t>
  </si>
  <si>
    <t>20.02/32</t>
  </si>
  <si>
    <t>Michael Stone</t>
  </si>
  <si>
    <t>jaggi.advoc@gmail.com</t>
  </si>
  <si>
    <t>20.02/33</t>
  </si>
  <si>
    <t>Sarita Birua</t>
  </si>
  <si>
    <t>cmbirua14@gmail.com</t>
  </si>
  <si>
    <t>20.02/34</t>
  </si>
  <si>
    <t>Gildon Dsouza</t>
  </si>
  <si>
    <t>gildon.dsouza@gmail.com</t>
  </si>
  <si>
    <t>20.02/35</t>
  </si>
  <si>
    <t>Rashmi Totla</t>
  </si>
  <si>
    <t>rashmi.asawa85@gmail.com</t>
  </si>
  <si>
    <t>20.02/36</t>
  </si>
  <si>
    <t>Shrikant Karwa</t>
  </si>
  <si>
    <t>1205 &amp; 1206</t>
  </si>
  <si>
    <t>shrikant.karwa@gmail.com</t>
  </si>
  <si>
    <t>20.02/37</t>
  </si>
  <si>
    <t>Sarbari Goswami</t>
  </si>
  <si>
    <t>sarbarigoswami1@gmail.com</t>
  </si>
  <si>
    <t>20.02/38</t>
  </si>
  <si>
    <t>Shyamal Chatterjee</t>
  </si>
  <si>
    <t>shymal_chatterjee@yahoo.com</t>
  </si>
  <si>
    <t>20.02/39</t>
  </si>
  <si>
    <t>Bipin Jha</t>
  </si>
  <si>
    <t>bipinjhanew@gmail.com</t>
  </si>
  <si>
    <t>20.02/40</t>
  </si>
  <si>
    <t>Mukesh Choudhary</t>
  </si>
  <si>
    <t>mukeshmicromax16@gmail.com</t>
  </si>
  <si>
    <t>20.02/41</t>
  </si>
  <si>
    <t>Vaibhav Ghatkar</t>
  </si>
  <si>
    <t>G5</t>
  </si>
  <si>
    <t>vaibhav.ghatkar@gmail.com</t>
  </si>
  <si>
    <t>20.02/42</t>
  </si>
  <si>
    <t>Geetika Vaswani</t>
  </si>
  <si>
    <t>hhvaswani@gmail.com</t>
  </si>
  <si>
    <t>20.02/43</t>
  </si>
  <si>
    <t>Shaila Whaval</t>
  </si>
  <si>
    <t>shailawhaval@gmail.com</t>
  </si>
  <si>
    <t>20.02/44</t>
  </si>
  <si>
    <t>Anand Ramsingh</t>
  </si>
  <si>
    <t>anandraj2706@gmail.com</t>
  </si>
  <si>
    <t>20.02/45</t>
  </si>
  <si>
    <t>Susmita Biswas</t>
  </si>
  <si>
    <t>sushmibi@gmail.com</t>
  </si>
  <si>
    <t>20.02/46</t>
  </si>
  <si>
    <t>20.02/47</t>
  </si>
  <si>
    <t>Vikash Chaudhary</t>
  </si>
  <si>
    <t>vikashchaudhary4503@gmail.com</t>
  </si>
  <si>
    <t>20.02/48</t>
  </si>
  <si>
    <t>Mahakant Sharma</t>
  </si>
  <si>
    <t>mahakantsharma822@gmail.com</t>
  </si>
  <si>
    <t>20.02/49</t>
  </si>
  <si>
    <t>ajha37277@gmail.com</t>
  </si>
  <si>
    <t>20.02/50</t>
  </si>
  <si>
    <t>Sonali Mahindrakar</t>
  </si>
  <si>
    <t>sonali86m@gmail.com</t>
  </si>
  <si>
    <t>20.02/51</t>
  </si>
  <si>
    <t>Hema Achuthan</t>
  </si>
  <si>
    <t>vivekachuthan@hotmail.com</t>
  </si>
  <si>
    <t>20.02/52</t>
  </si>
  <si>
    <t>Abhay Joshi</t>
  </si>
  <si>
    <t>joshiabhay@gmail.com</t>
  </si>
  <si>
    <t>20.02/53</t>
  </si>
  <si>
    <t>B R Kalyanaraman</t>
  </si>
  <si>
    <t>kalyanakil@gmail.com</t>
  </si>
  <si>
    <t>20.02/54</t>
  </si>
  <si>
    <t>Sajid Kanchwala</t>
  </si>
  <si>
    <t>rk@f2s.com</t>
  </si>
  <si>
    <t>20.02/55</t>
  </si>
  <si>
    <t>Reshma Kanchwala</t>
  </si>
  <si>
    <t>20.02/56</t>
  </si>
  <si>
    <t>Gulam Nabi Nawab Ali Khan</t>
  </si>
  <si>
    <t>gulamnabinawabali@gmail.com</t>
  </si>
  <si>
    <t>20.02/57</t>
  </si>
  <si>
    <t>Manas Nayak</t>
  </si>
  <si>
    <t>Z3</t>
  </si>
  <si>
    <t>manas_nayakk@hotmail.com</t>
  </si>
  <si>
    <t>20.02/58</t>
  </si>
  <si>
    <t>20.02/59</t>
  </si>
  <si>
    <t>Kalimullah Saberya Ansari</t>
  </si>
  <si>
    <t>2201, 2202 &amp; 2301</t>
  </si>
  <si>
    <t>sharpinterior@rediffmail.com</t>
  </si>
  <si>
    <t>20.02/60</t>
  </si>
  <si>
    <t>Sandeep Karu</t>
  </si>
  <si>
    <t>U3</t>
  </si>
  <si>
    <t>sandeepkaru5@gmail.com</t>
  </si>
  <si>
    <t>20.02/61</t>
  </si>
  <si>
    <t>Krishan Batra</t>
  </si>
  <si>
    <t>kk_batra_17@yahoo.co.in</t>
  </si>
  <si>
    <t>20.02/62</t>
  </si>
  <si>
    <t>Vishal Acharya</t>
  </si>
  <si>
    <t>vishalmacharya@gmail.com</t>
  </si>
  <si>
    <t>20.02/63</t>
  </si>
  <si>
    <t>Brij Kathuria</t>
  </si>
  <si>
    <t>bmkathuria@yahoo.com</t>
  </si>
  <si>
    <t>20.02/64</t>
  </si>
  <si>
    <t>Sarfraz Ahmed Mohammad Ilyas Khan</t>
  </si>
  <si>
    <t>20.02/65</t>
  </si>
  <si>
    <t>Krishnan Nandela</t>
  </si>
  <si>
    <t>krishnannandela34@gmail.com</t>
  </si>
  <si>
    <t>20.02/66</t>
  </si>
  <si>
    <t>Priyanka Kale</t>
  </si>
  <si>
    <t>mdajune1954@gmail.com</t>
  </si>
  <si>
    <t>20.02/67</t>
  </si>
  <si>
    <t>Priyanka Ishwar</t>
  </si>
  <si>
    <t>gunjanishwar.soumya@gmail.com</t>
  </si>
  <si>
    <t>20.02/68</t>
  </si>
  <si>
    <t>Visalakshi Ramani</t>
  </si>
  <si>
    <t>usha.ramani1980@gmail.com</t>
  </si>
  <si>
    <t>20.02/69</t>
  </si>
  <si>
    <t>Sheela Singh</t>
  </si>
  <si>
    <t>umeshtsingh10@gmail.com</t>
  </si>
  <si>
    <t>20.02/70</t>
  </si>
  <si>
    <t>Rizwana Shaikh</t>
  </si>
  <si>
    <t>U5</t>
  </si>
  <si>
    <t>klikncme4udr@gmail.com</t>
  </si>
  <si>
    <t>20.02/71</t>
  </si>
  <si>
    <t>Shivaji Chikke</t>
  </si>
  <si>
    <t>shivajichikke7768@gmail.com</t>
  </si>
  <si>
    <t>20.02/72</t>
  </si>
  <si>
    <t>20.02/73</t>
  </si>
  <si>
    <t>Rajbala Singh</t>
  </si>
  <si>
    <t>rajbalasingh1012@gmail.com</t>
  </si>
  <si>
    <t>20.02/74</t>
  </si>
  <si>
    <t>Chandrashekhar Pawar</t>
  </si>
  <si>
    <t>cvpawar1963@gmail.com</t>
  </si>
  <si>
    <t>20.02/75</t>
  </si>
  <si>
    <t>Rahila Srivastav</t>
  </si>
  <si>
    <t>rahila2004@yahoo.com</t>
  </si>
  <si>
    <t>20.02/76</t>
  </si>
  <si>
    <t>Neral Resort Pvt Ltd</t>
  </si>
  <si>
    <t>neral.resort@gmail.com</t>
  </si>
  <si>
    <t>20.02/77</t>
  </si>
  <si>
    <t>Ashsih Tripathi</t>
  </si>
  <si>
    <t>tripathi.ashish47@gmail.com</t>
  </si>
  <si>
    <t>20.02/78</t>
  </si>
  <si>
    <t>Megha Mhatre</t>
  </si>
  <si>
    <t>mhatre.meghal1978@gmail.com</t>
  </si>
  <si>
    <t>20.02/79</t>
  </si>
  <si>
    <t>Vaibhav Yerunkar</t>
  </si>
  <si>
    <t>yerunkarv@gmail.com</t>
  </si>
  <si>
    <t>20.02/80</t>
  </si>
  <si>
    <t>Sugandha Singh</t>
  </si>
  <si>
    <t>sugandha.singh1980@gmail.com</t>
  </si>
  <si>
    <t>20.02/81</t>
  </si>
  <si>
    <t>Suvarna Ravan</t>
  </si>
  <si>
    <t>suvarnaravan.1983@gmail.com</t>
  </si>
  <si>
    <t>20.02/82</t>
  </si>
  <si>
    <t>Naresh Shahani</t>
  </si>
  <si>
    <t>naresh9890@yahoo.in</t>
  </si>
  <si>
    <t>20.02/83</t>
  </si>
  <si>
    <t>Suresh Shahani</t>
  </si>
  <si>
    <t>N7</t>
  </si>
  <si>
    <t>20.02/84</t>
  </si>
  <si>
    <t>Dharampal Shahani</t>
  </si>
  <si>
    <t>20.02/85</t>
  </si>
  <si>
    <t>20.02/86</t>
  </si>
  <si>
    <t>Mansoor Ali Sohrab Ali Shaikh</t>
  </si>
  <si>
    <t>alimansoorali1166@gmail.com</t>
  </si>
  <si>
    <t>20.02/87</t>
  </si>
  <si>
    <t>Surekha Jadhav</t>
  </si>
  <si>
    <t>H6</t>
  </si>
  <si>
    <t>surekha2707@gmail.com</t>
  </si>
  <si>
    <t>20.02/88</t>
  </si>
  <si>
    <t>Aysha Ansari</t>
  </si>
  <si>
    <t>ays.ansari@gmail.com</t>
  </si>
  <si>
    <t>20.02/89</t>
  </si>
  <si>
    <t>Uttam Magar</t>
  </si>
  <si>
    <t>U1</t>
  </si>
  <si>
    <t>atulmagar80@gmail.com</t>
  </si>
  <si>
    <t>20.02/90</t>
  </si>
  <si>
    <t>Ganesh Nagde</t>
  </si>
  <si>
    <t>ganesh.nagde@gmail.com</t>
  </si>
  <si>
    <t>20.02/91</t>
  </si>
  <si>
    <t>Purnima Anthony</t>
  </si>
  <si>
    <t>purnimaphilips@yahoo.co.in</t>
  </si>
  <si>
    <t>20.02/92</t>
  </si>
  <si>
    <t>Vahida J Khan Ustad</t>
  </si>
  <si>
    <t>sadeeddiwan@gmail.com</t>
  </si>
  <si>
    <t>20.02/93</t>
  </si>
  <si>
    <t>Niraj Pandey</t>
  </si>
  <si>
    <t>X2</t>
  </si>
  <si>
    <t>pniraj611@gmail.com</t>
  </si>
  <si>
    <t>20.02/94</t>
  </si>
  <si>
    <t>Archana Tiwari</t>
  </si>
  <si>
    <t>anurag_us@yahoo.com</t>
  </si>
  <si>
    <t>20.02/95</t>
  </si>
  <si>
    <t>Nagesh Mahindrakar</t>
  </si>
  <si>
    <t>nagesh.mahindrakar@gmail.com</t>
  </si>
  <si>
    <t>20.02/96</t>
  </si>
  <si>
    <t>Titan Contracting Services Pvt Ltd</t>
  </si>
  <si>
    <t>2001,2002, 2003 &amp; 2004</t>
  </si>
  <si>
    <t>ishan.phalke@gmail.com</t>
  </si>
  <si>
    <t>20.02/97</t>
  </si>
  <si>
    <t>Aparna Nikam</t>
  </si>
  <si>
    <t>salunke.kalpana@gmail.com</t>
  </si>
  <si>
    <t>20.02/98</t>
  </si>
  <si>
    <t>Bharati Aachi</t>
  </si>
  <si>
    <t>bharathi.aachi@gmail.com</t>
  </si>
  <si>
    <t>20.02/99</t>
  </si>
  <si>
    <t>Abdul Latif Abdul Rehman Shaikh</t>
  </si>
  <si>
    <t>gulfcreations@hotmail.com</t>
  </si>
  <si>
    <t>20.02/100</t>
  </si>
  <si>
    <t>Sunil Budke</t>
  </si>
  <si>
    <t>sunilbudke@gmail.com</t>
  </si>
  <si>
    <t>20.02/101</t>
  </si>
  <si>
    <t>Salma Savliwala</t>
  </si>
  <si>
    <t>souhail.savliwala@gmail.com</t>
  </si>
  <si>
    <t>20.02/102</t>
  </si>
  <si>
    <t>Punit Shah</t>
  </si>
  <si>
    <t>pntshh9@gmail.com</t>
  </si>
  <si>
    <t>20.02/103</t>
  </si>
  <si>
    <t>Zaryab Ansari</t>
  </si>
  <si>
    <t>zaryab.ansari27@gmail.com</t>
  </si>
  <si>
    <t>20.02/104</t>
  </si>
  <si>
    <t>Sachin Kumar</t>
  </si>
  <si>
    <t>sachin2079@gmail.com</t>
  </si>
  <si>
    <t>20.02/105</t>
  </si>
  <si>
    <t>Nayab Ansari</t>
  </si>
  <si>
    <t>nayab.ansari07@gmail.com</t>
  </si>
  <si>
    <t>20.02/106</t>
  </si>
  <si>
    <t>Dhondu Gawade</t>
  </si>
  <si>
    <t>prakashpppl@rediffmail.com</t>
  </si>
  <si>
    <t>20.02/107</t>
  </si>
  <si>
    <t>Vinodkumar Pandey</t>
  </si>
  <si>
    <t>vinodkyn@gmail.com</t>
  </si>
  <si>
    <t>20.02/108</t>
  </si>
  <si>
    <t>Vinay Nair</t>
  </si>
  <si>
    <t>505 &amp; 1303</t>
  </si>
  <si>
    <t>vinaynairv@yahoo.co.in</t>
  </si>
  <si>
    <t>20.02/109</t>
  </si>
  <si>
    <t>Dilipkumar Shah</t>
  </si>
  <si>
    <t>shahdevank22@gmail.com</t>
  </si>
  <si>
    <t>20.02/110</t>
  </si>
  <si>
    <t>Sandeep Chavan</t>
  </si>
  <si>
    <t>A5</t>
  </si>
  <si>
    <t>sandeepchavan2005@gmail.com</t>
  </si>
  <si>
    <t>20.02/111</t>
  </si>
  <si>
    <t>Aishwarya Misra</t>
  </si>
  <si>
    <t>aishwarya.misra@gmail.com</t>
  </si>
  <si>
    <t>claim rejected</t>
  </si>
  <si>
    <t>20.02/112</t>
  </si>
  <si>
    <t>Sonali Chavan</t>
  </si>
  <si>
    <t>chavansonail5678@gmail.com</t>
  </si>
  <si>
    <t>20.02/113</t>
  </si>
  <si>
    <t>Kumarswamy Ramulu Gaddam</t>
  </si>
  <si>
    <t>kumar291g@gmail.com</t>
  </si>
  <si>
    <t>20.02/114</t>
  </si>
  <si>
    <t>Girish Indorkar</t>
  </si>
  <si>
    <t>G13</t>
  </si>
  <si>
    <t>gi.chem06@gmail.com</t>
  </si>
  <si>
    <t>20.02/115</t>
  </si>
  <si>
    <t>Naeem Ajij Shanediwan</t>
  </si>
  <si>
    <t>sadeed6666@gmail.com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</si>
</sst>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000_ ;_ * \-#,##0.00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8"/>
      <color theme="1"/>
      <name val="Book Antiqua"/>
      <family val="1"/>
    </font>
    <font>
      <sz val="12"/>
      <color rgb="FFFF0000"/>
      <name val="Book Antiqua"/>
      <family val="1"/>
    </font>
    <font>
      <sz val="12"/>
      <name val="Book Antiqu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2" fillId="0" borderId="4" xfId="2" applyBorder="1" applyAlignment="1">
      <alignment vertical="center"/>
    </xf>
    <xf numFmtId="3" fontId="3" fillId="2" borderId="4" xfId="0" applyNumberFormat="1" applyFont="1" applyFill="1" applyBorder="1" applyAlignment="1">
      <alignment horizontal="right" vertical="center"/>
    </xf>
    <xf numFmtId="164" fontId="3" fillId="2" borderId="4" xfId="1" applyNumberFormat="1" applyFont="1" applyFill="1" applyBorder="1" applyAlignment="1">
      <alignment horizontal="right" vertical="center"/>
    </xf>
    <xf numFmtId="164" fontId="3" fillId="3" borderId="4" xfId="1" applyNumberFormat="1" applyFont="1" applyFill="1" applyBorder="1" applyAlignment="1">
      <alignment horizontal="right" vertical="center"/>
    </xf>
    <xf numFmtId="164" fontId="3" fillId="4" borderId="4" xfId="1" applyNumberFormat="1" applyFont="1" applyFill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/>
    </xf>
    <xf numFmtId="164" fontId="3" fillId="3" borderId="4" xfId="1" applyNumberFormat="1" applyFont="1" applyFill="1" applyBorder="1" applyAlignment="1">
      <alignment vertical="center"/>
    </xf>
    <xf numFmtId="0" fontId="2" fillId="0" borderId="4" xfId="2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3" borderId="4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5" xfId="2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4" fontId="3" fillId="3" borderId="5" xfId="1" applyNumberFormat="1" applyFont="1" applyFill="1" applyBorder="1" applyAlignment="1">
      <alignment vertical="center"/>
    </xf>
    <xf numFmtId="164" fontId="3" fillId="3" borderId="5" xfId="1" applyNumberFormat="1" applyFont="1" applyFill="1" applyBorder="1" applyAlignment="1">
      <alignment horizontal="right" vertical="center"/>
    </xf>
    <xf numFmtId="164" fontId="3" fillId="4" borderId="5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5" fontId="4" fillId="0" borderId="6" xfId="1" applyNumberFormat="1" applyFont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%20Drive\IP%20work\11.%20Sheltrex%20Karjat%20Pvt%20Ltd\List%20of%20Claim%20and%20Authorised%20representative.xlsx" TargetMode="External"/><Relationship Id="rId1" Type="http://schemas.openxmlformats.org/officeDocument/2006/relationships/externalLinkPath" Target="/F%20Drive/IP%20work/11.%20Sheltrex%20Karjat%20Pvt%20Ltd/List%20of%20Claim%20and%20Authorised%20representa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-AR"/>
      <sheetName val="Summary"/>
      <sheetName val="Home Buyer"/>
      <sheetName val="Financial Creditor"/>
      <sheetName val="Operational Creditor"/>
      <sheetName val="Detail List of AR"/>
    </sheetNames>
    <sheetDataSet>
      <sheetData sheetId="0"/>
      <sheetData sheetId="1">
        <row r="6">
          <cell r="H6">
            <v>6.2529804500398303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umeshtsingh10@gmail.com" TargetMode="External"/><Relationship Id="rId21" Type="http://schemas.openxmlformats.org/officeDocument/2006/relationships/hyperlink" Target="mailto:jagtap.gajanan18@gmail.com" TargetMode="External"/><Relationship Id="rId42" Type="http://schemas.openxmlformats.org/officeDocument/2006/relationships/hyperlink" Target="mailto:dhanvantari.naik@gmail.com" TargetMode="External"/><Relationship Id="rId63" Type="http://schemas.openxmlformats.org/officeDocument/2006/relationships/hyperlink" Target="mailto:mohana.aryamane@gmail.com" TargetMode="External"/><Relationship Id="rId84" Type="http://schemas.openxmlformats.org/officeDocument/2006/relationships/hyperlink" Target="mailto:akshayamalaviya@yahoo.com" TargetMode="External"/><Relationship Id="rId138" Type="http://schemas.openxmlformats.org/officeDocument/2006/relationships/hyperlink" Target="mailto:purnimaphilips@yahoo.co.in" TargetMode="External"/><Relationship Id="rId159" Type="http://schemas.openxmlformats.org/officeDocument/2006/relationships/hyperlink" Target="mailto:chavansonail5678@gmail.com" TargetMode="External"/><Relationship Id="rId170" Type="http://schemas.openxmlformats.org/officeDocument/2006/relationships/hyperlink" Target="mailto:nirajha1512@gmail.com" TargetMode="External"/><Relationship Id="rId107" Type="http://schemas.openxmlformats.org/officeDocument/2006/relationships/hyperlink" Target="mailto:manas_nayakk@hotmail.com" TargetMode="External"/><Relationship Id="rId11" Type="http://schemas.openxmlformats.org/officeDocument/2006/relationships/hyperlink" Target="mailto:mali.prakash220@gmail.com" TargetMode="External"/><Relationship Id="rId32" Type="http://schemas.openxmlformats.org/officeDocument/2006/relationships/hyperlink" Target="mailto:groupyashodhan@gmail.com" TargetMode="External"/><Relationship Id="rId53" Type="http://schemas.openxmlformats.org/officeDocument/2006/relationships/hyperlink" Target="mailto:jaya.sreeni@gmail.com" TargetMode="External"/><Relationship Id="rId74" Type="http://schemas.openxmlformats.org/officeDocument/2006/relationships/hyperlink" Target="mailto:merchantproperties123@gmail.com" TargetMode="External"/><Relationship Id="rId128" Type="http://schemas.openxmlformats.org/officeDocument/2006/relationships/hyperlink" Target="mailto:suvarnaravan.1983@gmail.com" TargetMode="External"/><Relationship Id="rId149" Type="http://schemas.openxmlformats.org/officeDocument/2006/relationships/hyperlink" Target="mailto:pntshh9@gmail.com" TargetMode="External"/><Relationship Id="rId5" Type="http://schemas.openxmlformats.org/officeDocument/2006/relationships/hyperlink" Target="mailto:bengali.padma@gmail.com" TargetMode="External"/><Relationship Id="rId95" Type="http://schemas.openxmlformats.org/officeDocument/2006/relationships/hyperlink" Target="mailto:shailawhaval@gmail.com" TargetMode="External"/><Relationship Id="rId160" Type="http://schemas.openxmlformats.org/officeDocument/2006/relationships/hyperlink" Target="mailto:kumar291g@gmail.com" TargetMode="External"/><Relationship Id="rId22" Type="http://schemas.openxmlformats.org/officeDocument/2006/relationships/hyperlink" Target="mailto:kirti_sherlekar@rediffmail.com" TargetMode="External"/><Relationship Id="rId43" Type="http://schemas.openxmlformats.org/officeDocument/2006/relationships/hyperlink" Target="mailto:vikas.palkar3@gmail.com" TargetMode="External"/><Relationship Id="rId64" Type="http://schemas.openxmlformats.org/officeDocument/2006/relationships/hyperlink" Target="mailto:drsuvarnashinde@ymail.com" TargetMode="External"/><Relationship Id="rId118" Type="http://schemas.openxmlformats.org/officeDocument/2006/relationships/hyperlink" Target="mailto:klikncme4udr@gmail.com" TargetMode="External"/><Relationship Id="rId139" Type="http://schemas.openxmlformats.org/officeDocument/2006/relationships/hyperlink" Target="mailto:sadeeddiwan@gmail.com" TargetMode="External"/><Relationship Id="rId85" Type="http://schemas.openxmlformats.org/officeDocument/2006/relationships/hyperlink" Target="mailto:sunnysayani@aol.com" TargetMode="External"/><Relationship Id="rId150" Type="http://schemas.openxmlformats.org/officeDocument/2006/relationships/hyperlink" Target="mailto:zaryab.ansari27@gmail.com" TargetMode="External"/><Relationship Id="rId171" Type="http://schemas.openxmlformats.org/officeDocument/2006/relationships/hyperlink" Target="mailto:sandeep.sinku@yahoo.in" TargetMode="External"/><Relationship Id="rId12" Type="http://schemas.openxmlformats.org/officeDocument/2006/relationships/hyperlink" Target="mailto:trilalag@hotmail.com" TargetMode="External"/><Relationship Id="rId33" Type="http://schemas.openxmlformats.org/officeDocument/2006/relationships/hyperlink" Target="mailto:veenadk@hotmail.com" TargetMode="External"/><Relationship Id="rId108" Type="http://schemas.openxmlformats.org/officeDocument/2006/relationships/hyperlink" Target="mailto:gildon.dsouza@gmail.com" TargetMode="External"/><Relationship Id="rId129" Type="http://schemas.openxmlformats.org/officeDocument/2006/relationships/hyperlink" Target="mailto:naresh9890@yahoo.in" TargetMode="External"/><Relationship Id="rId54" Type="http://schemas.openxmlformats.org/officeDocument/2006/relationships/hyperlink" Target="mailto:brijesh_kumar2121@yahoo.co.in" TargetMode="External"/><Relationship Id="rId75" Type="http://schemas.openxmlformats.org/officeDocument/2006/relationships/hyperlink" Target="mailto:shaikhshahabaaz@yahoo.co.in" TargetMode="External"/><Relationship Id="rId96" Type="http://schemas.openxmlformats.org/officeDocument/2006/relationships/hyperlink" Target="mailto:sushmibi@gmail.com" TargetMode="External"/><Relationship Id="rId140" Type="http://schemas.openxmlformats.org/officeDocument/2006/relationships/hyperlink" Target="mailto:pniraj611@gmail.com" TargetMode="External"/><Relationship Id="rId161" Type="http://schemas.openxmlformats.org/officeDocument/2006/relationships/hyperlink" Target="mailto:gi.chem06@gmail.com" TargetMode="External"/><Relationship Id="rId6" Type="http://schemas.openxmlformats.org/officeDocument/2006/relationships/hyperlink" Target="mailto:ppppawaskar@gmail.com" TargetMode="External"/><Relationship Id="rId23" Type="http://schemas.openxmlformats.org/officeDocument/2006/relationships/hyperlink" Target="mailto:poreparag@gmail.com" TargetMode="External"/><Relationship Id="rId28" Type="http://schemas.openxmlformats.org/officeDocument/2006/relationships/hyperlink" Target="mailto:info@essgee.net" TargetMode="External"/><Relationship Id="rId49" Type="http://schemas.openxmlformats.org/officeDocument/2006/relationships/hyperlink" Target="mailto:shraddhahabde8@gmail.com" TargetMode="External"/><Relationship Id="rId114" Type="http://schemas.openxmlformats.org/officeDocument/2006/relationships/hyperlink" Target="mailto:krishnannandela34@gmail.com" TargetMode="External"/><Relationship Id="rId119" Type="http://schemas.openxmlformats.org/officeDocument/2006/relationships/hyperlink" Target="mailto:shivajichikke7768@gmail.com" TargetMode="External"/><Relationship Id="rId44" Type="http://schemas.openxmlformats.org/officeDocument/2006/relationships/hyperlink" Target="mailto:rashmipatki14@gmail.com" TargetMode="External"/><Relationship Id="rId60" Type="http://schemas.openxmlformats.org/officeDocument/2006/relationships/hyperlink" Target="mailto:stephen.a.gaikwad21@gmail.com" TargetMode="External"/><Relationship Id="rId65" Type="http://schemas.openxmlformats.org/officeDocument/2006/relationships/hyperlink" Target="mailto:kamladevyadav1983@gmail.com" TargetMode="External"/><Relationship Id="rId81" Type="http://schemas.openxmlformats.org/officeDocument/2006/relationships/hyperlink" Target="mailto:bennykgeorge@gmail.com" TargetMode="External"/><Relationship Id="rId86" Type="http://schemas.openxmlformats.org/officeDocument/2006/relationships/hyperlink" Target="mailto:sunnysayani@aol.com" TargetMode="External"/><Relationship Id="rId130" Type="http://schemas.openxmlformats.org/officeDocument/2006/relationships/hyperlink" Target="mailto:naresh9890@yahoo.in" TargetMode="External"/><Relationship Id="rId135" Type="http://schemas.openxmlformats.org/officeDocument/2006/relationships/hyperlink" Target="mailto:ays.ansari@gmail.com" TargetMode="External"/><Relationship Id="rId151" Type="http://schemas.openxmlformats.org/officeDocument/2006/relationships/hyperlink" Target="mailto:sachin2079@gmail.com" TargetMode="External"/><Relationship Id="rId156" Type="http://schemas.openxmlformats.org/officeDocument/2006/relationships/hyperlink" Target="mailto:shahdevank22@gmail.com" TargetMode="External"/><Relationship Id="rId177" Type="http://schemas.openxmlformats.org/officeDocument/2006/relationships/printerSettings" Target="../printerSettings/printerSettings1.bin"/><Relationship Id="rId172" Type="http://schemas.openxmlformats.org/officeDocument/2006/relationships/hyperlink" Target="mailto:lakshmi.venkatgiri@gmail.com" TargetMode="External"/><Relationship Id="rId13" Type="http://schemas.openxmlformats.org/officeDocument/2006/relationships/hyperlink" Target="mailto:ajitsankhe1@hotmail.com" TargetMode="External"/><Relationship Id="rId18" Type="http://schemas.openxmlformats.org/officeDocument/2006/relationships/hyperlink" Target="mailto:sourabh.brjn@gmail.com" TargetMode="External"/><Relationship Id="rId39" Type="http://schemas.openxmlformats.org/officeDocument/2006/relationships/hyperlink" Target="mailto:canil080863@gmail.com" TargetMode="External"/><Relationship Id="rId109" Type="http://schemas.openxmlformats.org/officeDocument/2006/relationships/hyperlink" Target="mailto:sharpinterior@rediffmail.com" TargetMode="External"/><Relationship Id="rId34" Type="http://schemas.openxmlformats.org/officeDocument/2006/relationships/hyperlink" Target="mailto:anuj@sgjewel.com" TargetMode="External"/><Relationship Id="rId50" Type="http://schemas.openxmlformats.org/officeDocument/2006/relationships/hyperlink" Target="mailto:teresa.realtyllp@gmail.com" TargetMode="External"/><Relationship Id="rId55" Type="http://schemas.openxmlformats.org/officeDocument/2006/relationships/hyperlink" Target="mailto:seanper46@yahoo.com" TargetMode="External"/><Relationship Id="rId76" Type="http://schemas.openxmlformats.org/officeDocument/2006/relationships/hyperlink" Target="mailto:merchantproperties123@gmail.com" TargetMode="External"/><Relationship Id="rId97" Type="http://schemas.openxmlformats.org/officeDocument/2006/relationships/hyperlink" Target="mailto:shailawhaval@gmail.com" TargetMode="External"/><Relationship Id="rId104" Type="http://schemas.openxmlformats.org/officeDocument/2006/relationships/hyperlink" Target="mailto:rk@f2s.com" TargetMode="External"/><Relationship Id="rId120" Type="http://schemas.openxmlformats.org/officeDocument/2006/relationships/hyperlink" Target="mailto:shivajichikke7768@gmail.com" TargetMode="External"/><Relationship Id="rId125" Type="http://schemas.openxmlformats.org/officeDocument/2006/relationships/hyperlink" Target="mailto:mhatre.meghal1978@gmail.com" TargetMode="External"/><Relationship Id="rId141" Type="http://schemas.openxmlformats.org/officeDocument/2006/relationships/hyperlink" Target="mailto:anurag_us@yahoo.com" TargetMode="External"/><Relationship Id="rId146" Type="http://schemas.openxmlformats.org/officeDocument/2006/relationships/hyperlink" Target="mailto:gulfcreations@hotmail.com" TargetMode="External"/><Relationship Id="rId167" Type="http://schemas.openxmlformats.org/officeDocument/2006/relationships/hyperlink" Target="mailto:lalit4app75@gmail.com" TargetMode="External"/><Relationship Id="rId7" Type="http://schemas.openxmlformats.org/officeDocument/2006/relationships/hyperlink" Target="mailto:faizah.z.m@gmail.com" TargetMode="External"/><Relationship Id="rId71" Type="http://schemas.openxmlformats.org/officeDocument/2006/relationships/hyperlink" Target="mailto:deepalidhomane@gmail.com" TargetMode="External"/><Relationship Id="rId92" Type="http://schemas.openxmlformats.org/officeDocument/2006/relationships/hyperlink" Target="mailto:bipinjhanew@gmail.com" TargetMode="External"/><Relationship Id="rId162" Type="http://schemas.openxmlformats.org/officeDocument/2006/relationships/hyperlink" Target="mailto:sadeed6666@gmail.com" TargetMode="External"/><Relationship Id="rId2" Type="http://schemas.openxmlformats.org/officeDocument/2006/relationships/hyperlink" Target="mailto:banufatema786@gmail.com" TargetMode="External"/><Relationship Id="rId29" Type="http://schemas.openxmlformats.org/officeDocument/2006/relationships/hyperlink" Target="mailto:kmahesh81@gmail.com" TargetMode="External"/><Relationship Id="rId24" Type="http://schemas.openxmlformats.org/officeDocument/2006/relationships/hyperlink" Target="mailto:rakeshkayithi@gmail.com" TargetMode="External"/><Relationship Id="rId40" Type="http://schemas.openxmlformats.org/officeDocument/2006/relationships/hyperlink" Target="mailto:jaimalharinfra@rediffmail.com" TargetMode="External"/><Relationship Id="rId45" Type="http://schemas.openxmlformats.org/officeDocument/2006/relationships/hyperlink" Target="mailto:dsouzad2408@gmail.com" TargetMode="External"/><Relationship Id="rId66" Type="http://schemas.openxmlformats.org/officeDocument/2006/relationships/hyperlink" Target="mailto:ashanwaz386@gmail.com" TargetMode="External"/><Relationship Id="rId87" Type="http://schemas.openxmlformats.org/officeDocument/2006/relationships/hyperlink" Target="mailto:jaggi.advoc@gmail.com" TargetMode="External"/><Relationship Id="rId110" Type="http://schemas.openxmlformats.org/officeDocument/2006/relationships/hyperlink" Target="mailto:sandeepkaru5@gmail.com" TargetMode="External"/><Relationship Id="rId115" Type="http://schemas.openxmlformats.org/officeDocument/2006/relationships/hyperlink" Target="mailto:gunjanishwar.soumya@gmail.com" TargetMode="External"/><Relationship Id="rId131" Type="http://schemas.openxmlformats.org/officeDocument/2006/relationships/hyperlink" Target="mailto:naresh9890@yahoo.in" TargetMode="External"/><Relationship Id="rId136" Type="http://schemas.openxmlformats.org/officeDocument/2006/relationships/hyperlink" Target="mailto:atulmagar80@gmail.com" TargetMode="External"/><Relationship Id="rId157" Type="http://schemas.openxmlformats.org/officeDocument/2006/relationships/hyperlink" Target="mailto:sandeepchavan2005@gmail.com" TargetMode="External"/><Relationship Id="rId178" Type="http://schemas.openxmlformats.org/officeDocument/2006/relationships/vmlDrawing" Target="../drawings/vmlDrawing1.vml"/><Relationship Id="rId61" Type="http://schemas.openxmlformats.org/officeDocument/2006/relationships/hyperlink" Target="mailto:mirash99@gmail.com" TargetMode="External"/><Relationship Id="rId82" Type="http://schemas.openxmlformats.org/officeDocument/2006/relationships/hyperlink" Target="mailto:deshmukh_santosh@rediffmail.com" TargetMode="External"/><Relationship Id="rId152" Type="http://schemas.openxmlformats.org/officeDocument/2006/relationships/hyperlink" Target="mailto:nayab.ansari07@gmail.com" TargetMode="External"/><Relationship Id="rId173" Type="http://schemas.openxmlformats.org/officeDocument/2006/relationships/hyperlink" Target="mailto:jaypradeep@hotmail.com" TargetMode="External"/><Relationship Id="rId19" Type="http://schemas.openxmlformats.org/officeDocument/2006/relationships/hyperlink" Target="mailto:sourabh.brjn@gmail.com" TargetMode="External"/><Relationship Id="rId14" Type="http://schemas.openxmlformats.org/officeDocument/2006/relationships/hyperlink" Target="mailto:manjireesankhe1@hotmail.com" TargetMode="External"/><Relationship Id="rId30" Type="http://schemas.openxmlformats.org/officeDocument/2006/relationships/hyperlink" Target="mailto:sureshnagwan855@gmail.com" TargetMode="External"/><Relationship Id="rId35" Type="http://schemas.openxmlformats.org/officeDocument/2006/relationships/hyperlink" Target="mailto:vikas.palkar3@gmail.com" TargetMode="External"/><Relationship Id="rId56" Type="http://schemas.openxmlformats.org/officeDocument/2006/relationships/hyperlink" Target="mailto:rg.gupta619@gmail.com" TargetMode="External"/><Relationship Id="rId77" Type="http://schemas.openxmlformats.org/officeDocument/2006/relationships/hyperlink" Target="mailto:arzoomerchant2@gmail.com" TargetMode="External"/><Relationship Id="rId100" Type="http://schemas.openxmlformats.org/officeDocument/2006/relationships/hyperlink" Target="mailto:ajha37277@gmail.com" TargetMode="External"/><Relationship Id="rId105" Type="http://schemas.openxmlformats.org/officeDocument/2006/relationships/hyperlink" Target="mailto:rk@f2s.com" TargetMode="External"/><Relationship Id="rId126" Type="http://schemas.openxmlformats.org/officeDocument/2006/relationships/hyperlink" Target="mailto:yerunkarv@gmail.com" TargetMode="External"/><Relationship Id="rId147" Type="http://schemas.openxmlformats.org/officeDocument/2006/relationships/hyperlink" Target="mailto:sunilbudke@gmail.com" TargetMode="External"/><Relationship Id="rId168" Type="http://schemas.openxmlformats.org/officeDocument/2006/relationships/hyperlink" Target="mailto:arehana_2004@yahoo.com" TargetMode="External"/><Relationship Id="rId8" Type="http://schemas.openxmlformats.org/officeDocument/2006/relationships/hyperlink" Target="mailto:khadilkar67@gmail.com" TargetMode="External"/><Relationship Id="rId51" Type="http://schemas.openxmlformats.org/officeDocument/2006/relationships/hyperlink" Target="mailto:issranidharam@gmail.com" TargetMode="External"/><Relationship Id="rId72" Type="http://schemas.openxmlformats.org/officeDocument/2006/relationships/hyperlink" Target="mailto:afimerchant@yahoo.com" TargetMode="External"/><Relationship Id="rId93" Type="http://schemas.openxmlformats.org/officeDocument/2006/relationships/hyperlink" Target="mailto:mukeshmicromax16@gmail.com" TargetMode="External"/><Relationship Id="rId98" Type="http://schemas.openxmlformats.org/officeDocument/2006/relationships/hyperlink" Target="mailto:vikashchaudhary4503@gmail.com" TargetMode="External"/><Relationship Id="rId121" Type="http://schemas.openxmlformats.org/officeDocument/2006/relationships/hyperlink" Target="mailto:cvpawar1963@gmail.com" TargetMode="External"/><Relationship Id="rId142" Type="http://schemas.openxmlformats.org/officeDocument/2006/relationships/hyperlink" Target="mailto:nagesh.mahindrakar@gmail.com" TargetMode="External"/><Relationship Id="rId163" Type="http://schemas.openxmlformats.org/officeDocument/2006/relationships/hyperlink" Target="mailto:frank15alphonso@gmail.com" TargetMode="External"/><Relationship Id="rId3" Type="http://schemas.openxmlformats.org/officeDocument/2006/relationships/hyperlink" Target="mailto:dnm1977@gmail.com" TargetMode="External"/><Relationship Id="rId25" Type="http://schemas.openxmlformats.org/officeDocument/2006/relationships/hyperlink" Target="mailto:dynacraft@rediffmail.com" TargetMode="External"/><Relationship Id="rId46" Type="http://schemas.openxmlformats.org/officeDocument/2006/relationships/hyperlink" Target="mailto:sanjaysk86@gmail.com" TargetMode="External"/><Relationship Id="rId67" Type="http://schemas.openxmlformats.org/officeDocument/2006/relationships/hyperlink" Target="mailto:dareshrai420@gmail.com" TargetMode="External"/><Relationship Id="rId116" Type="http://schemas.openxmlformats.org/officeDocument/2006/relationships/hyperlink" Target="mailto:usha.ramani1980@gmail.com" TargetMode="External"/><Relationship Id="rId137" Type="http://schemas.openxmlformats.org/officeDocument/2006/relationships/hyperlink" Target="mailto:ganesh.nagde@gmail.com" TargetMode="External"/><Relationship Id="rId158" Type="http://schemas.openxmlformats.org/officeDocument/2006/relationships/hyperlink" Target="mailto:aishwarya.misra@gmail.com" TargetMode="External"/><Relationship Id="rId20" Type="http://schemas.openxmlformats.org/officeDocument/2006/relationships/hyperlink" Target="mailto:devidas11190@yahoo.com" TargetMode="External"/><Relationship Id="rId41" Type="http://schemas.openxmlformats.org/officeDocument/2006/relationships/hyperlink" Target="mailto:hiteshhdamania@yahoo.com" TargetMode="External"/><Relationship Id="rId62" Type="http://schemas.openxmlformats.org/officeDocument/2006/relationships/hyperlink" Target="mailto:p7.rahul@gmail.com" TargetMode="External"/><Relationship Id="rId83" Type="http://schemas.openxmlformats.org/officeDocument/2006/relationships/hyperlink" Target="mailto:khan.shoeb12@gmail.com" TargetMode="External"/><Relationship Id="rId88" Type="http://schemas.openxmlformats.org/officeDocument/2006/relationships/hyperlink" Target="mailto:cmbirua14@gmail.com" TargetMode="External"/><Relationship Id="rId111" Type="http://schemas.openxmlformats.org/officeDocument/2006/relationships/hyperlink" Target="mailto:kk_batra_17@yahoo.co.in" TargetMode="External"/><Relationship Id="rId132" Type="http://schemas.openxmlformats.org/officeDocument/2006/relationships/hyperlink" Target="mailto:naresh9890@yahoo.in" TargetMode="External"/><Relationship Id="rId153" Type="http://schemas.openxmlformats.org/officeDocument/2006/relationships/hyperlink" Target="mailto:prakashpppl@rediffmail.com" TargetMode="External"/><Relationship Id="rId174" Type="http://schemas.openxmlformats.org/officeDocument/2006/relationships/hyperlink" Target="mailto:accounts@saifeehospital.com" TargetMode="External"/><Relationship Id="rId179" Type="http://schemas.openxmlformats.org/officeDocument/2006/relationships/comments" Target="../comments1.xml"/><Relationship Id="rId15" Type="http://schemas.openxmlformats.org/officeDocument/2006/relationships/hyperlink" Target="mailto:65sarveshsingh@gmail.com" TargetMode="External"/><Relationship Id="rId36" Type="http://schemas.openxmlformats.org/officeDocument/2006/relationships/hyperlink" Target="mailto:amolninad26@gmail.com" TargetMode="External"/><Relationship Id="rId57" Type="http://schemas.openxmlformats.org/officeDocument/2006/relationships/hyperlink" Target="mailto:salmankhan183@yahoomail.com" TargetMode="External"/><Relationship Id="rId106" Type="http://schemas.openxmlformats.org/officeDocument/2006/relationships/hyperlink" Target="mailto:gulamnabinawabali@gmail.com" TargetMode="External"/><Relationship Id="rId127" Type="http://schemas.openxmlformats.org/officeDocument/2006/relationships/hyperlink" Target="mailto:sugandha.singh1980@gmail.com" TargetMode="External"/><Relationship Id="rId10" Type="http://schemas.openxmlformats.org/officeDocument/2006/relationships/hyperlink" Target="mailto:bhaskar.katual@gmail.com" TargetMode="External"/><Relationship Id="rId31" Type="http://schemas.openxmlformats.org/officeDocument/2006/relationships/hyperlink" Target="mailto:groupyashodhan@gmail.com" TargetMode="External"/><Relationship Id="rId52" Type="http://schemas.openxmlformats.org/officeDocument/2006/relationships/hyperlink" Target="mailto:jaya.sreeni@gmail.com" TargetMode="External"/><Relationship Id="rId73" Type="http://schemas.openxmlformats.org/officeDocument/2006/relationships/hyperlink" Target="mailto:merchantproperties123@gmail.com" TargetMode="External"/><Relationship Id="rId78" Type="http://schemas.openxmlformats.org/officeDocument/2006/relationships/hyperlink" Target="mailto:sumsur@hotmail.com" TargetMode="External"/><Relationship Id="rId94" Type="http://schemas.openxmlformats.org/officeDocument/2006/relationships/hyperlink" Target="mailto:vaibhav.ghatkar@gmail.com" TargetMode="External"/><Relationship Id="rId99" Type="http://schemas.openxmlformats.org/officeDocument/2006/relationships/hyperlink" Target="mailto:mahakantsharma822@gmail.com" TargetMode="External"/><Relationship Id="rId101" Type="http://schemas.openxmlformats.org/officeDocument/2006/relationships/hyperlink" Target="mailto:sonali86m@gmail.com" TargetMode="External"/><Relationship Id="rId122" Type="http://schemas.openxmlformats.org/officeDocument/2006/relationships/hyperlink" Target="mailto:rahila2004@yahoo.com" TargetMode="External"/><Relationship Id="rId143" Type="http://schemas.openxmlformats.org/officeDocument/2006/relationships/hyperlink" Target="mailto:ishan.phalke@gmail.com" TargetMode="External"/><Relationship Id="rId148" Type="http://schemas.openxmlformats.org/officeDocument/2006/relationships/hyperlink" Target="mailto:souhail.savliwala@gmail.com" TargetMode="External"/><Relationship Id="rId164" Type="http://schemas.openxmlformats.org/officeDocument/2006/relationships/hyperlink" Target="mailto:kamleshprajapat378@gmail.com" TargetMode="External"/><Relationship Id="rId169" Type="http://schemas.openxmlformats.org/officeDocument/2006/relationships/hyperlink" Target="mailto:ajayjha1234@yahoo.co.in" TargetMode="External"/><Relationship Id="rId4" Type="http://schemas.openxmlformats.org/officeDocument/2006/relationships/hyperlink" Target="mailto:nileshchopra84@gmail.com" TargetMode="External"/><Relationship Id="rId9" Type="http://schemas.openxmlformats.org/officeDocument/2006/relationships/hyperlink" Target="mailto:satye294@gmail.com" TargetMode="External"/><Relationship Id="rId26" Type="http://schemas.openxmlformats.org/officeDocument/2006/relationships/hyperlink" Target="mailto:kamalanandankrishnan@gmail.com" TargetMode="External"/><Relationship Id="rId47" Type="http://schemas.openxmlformats.org/officeDocument/2006/relationships/hyperlink" Target="mailto:rajendra742010@gmail.com" TargetMode="External"/><Relationship Id="rId68" Type="http://schemas.openxmlformats.org/officeDocument/2006/relationships/hyperlink" Target="mailto:gte_mum06@rediffmail.com" TargetMode="External"/><Relationship Id="rId89" Type="http://schemas.openxmlformats.org/officeDocument/2006/relationships/hyperlink" Target="mailto:gildon.dsouza@gmail.com" TargetMode="External"/><Relationship Id="rId112" Type="http://schemas.openxmlformats.org/officeDocument/2006/relationships/hyperlink" Target="mailto:vishalmacharya@gmail.com" TargetMode="External"/><Relationship Id="rId133" Type="http://schemas.openxmlformats.org/officeDocument/2006/relationships/hyperlink" Target="mailto:alimansoorali1166@gmail.com" TargetMode="External"/><Relationship Id="rId154" Type="http://schemas.openxmlformats.org/officeDocument/2006/relationships/hyperlink" Target="mailto:vinodkyn@gmail.com" TargetMode="External"/><Relationship Id="rId175" Type="http://schemas.openxmlformats.org/officeDocument/2006/relationships/hyperlink" Target="mailto:merchantproperties123@gmail.com" TargetMode="External"/><Relationship Id="rId16" Type="http://schemas.openxmlformats.org/officeDocument/2006/relationships/hyperlink" Target="mailto:naveeg@yahoo.co.uk" TargetMode="External"/><Relationship Id="rId37" Type="http://schemas.openxmlformats.org/officeDocument/2006/relationships/hyperlink" Target="mailto:amolninad26@gmail.com" TargetMode="External"/><Relationship Id="rId58" Type="http://schemas.openxmlformats.org/officeDocument/2006/relationships/hyperlink" Target="mailto:salmankhan183@yahoomail.com" TargetMode="External"/><Relationship Id="rId79" Type="http://schemas.openxmlformats.org/officeDocument/2006/relationships/hyperlink" Target="mailto:shelarsa@gmail.com" TargetMode="External"/><Relationship Id="rId102" Type="http://schemas.openxmlformats.org/officeDocument/2006/relationships/hyperlink" Target="mailto:vivekachuthan@hotmail.com" TargetMode="External"/><Relationship Id="rId123" Type="http://schemas.openxmlformats.org/officeDocument/2006/relationships/hyperlink" Target="mailto:neral.resort@gmail.com" TargetMode="External"/><Relationship Id="rId144" Type="http://schemas.openxmlformats.org/officeDocument/2006/relationships/hyperlink" Target="mailto:salunke.kalpana@gmail.com" TargetMode="External"/><Relationship Id="rId90" Type="http://schemas.openxmlformats.org/officeDocument/2006/relationships/hyperlink" Target="mailto:shrikant.karwa@gmail.com" TargetMode="External"/><Relationship Id="rId165" Type="http://schemas.openxmlformats.org/officeDocument/2006/relationships/hyperlink" Target="mailto:sanjeev.mahagaonkar02@gmail.com" TargetMode="External"/><Relationship Id="rId27" Type="http://schemas.openxmlformats.org/officeDocument/2006/relationships/hyperlink" Target="mailto:joharkatawala@gmail.com" TargetMode="External"/><Relationship Id="rId48" Type="http://schemas.openxmlformats.org/officeDocument/2006/relationships/hyperlink" Target="mailto:vicharemahesh63@yahoo.in" TargetMode="External"/><Relationship Id="rId69" Type="http://schemas.openxmlformats.org/officeDocument/2006/relationships/hyperlink" Target="mailto:mohana.aryamane@gmail.com" TargetMode="External"/><Relationship Id="rId113" Type="http://schemas.openxmlformats.org/officeDocument/2006/relationships/hyperlink" Target="mailto:bmkathuria@yahoo.com" TargetMode="External"/><Relationship Id="rId134" Type="http://schemas.openxmlformats.org/officeDocument/2006/relationships/hyperlink" Target="mailto:surekha2707@gmail.com" TargetMode="External"/><Relationship Id="rId80" Type="http://schemas.openxmlformats.org/officeDocument/2006/relationships/hyperlink" Target="mailto:ayushmishra2502@gmail.com" TargetMode="External"/><Relationship Id="rId155" Type="http://schemas.openxmlformats.org/officeDocument/2006/relationships/hyperlink" Target="mailto:vinaynairv@yahoo.co.in" TargetMode="External"/><Relationship Id="rId176" Type="http://schemas.openxmlformats.org/officeDocument/2006/relationships/hyperlink" Target="mailto:gatlasreevan@gmail.com" TargetMode="External"/><Relationship Id="rId17" Type="http://schemas.openxmlformats.org/officeDocument/2006/relationships/hyperlink" Target="mailto:vivek.hariharan5@gmail.com" TargetMode="External"/><Relationship Id="rId38" Type="http://schemas.openxmlformats.org/officeDocument/2006/relationships/hyperlink" Target="mailto:groupyashodhan@gmail.com" TargetMode="External"/><Relationship Id="rId59" Type="http://schemas.openxmlformats.org/officeDocument/2006/relationships/hyperlink" Target="mailto:p7.rahul@gmail.com" TargetMode="External"/><Relationship Id="rId103" Type="http://schemas.openxmlformats.org/officeDocument/2006/relationships/hyperlink" Target="mailto:joshiabhay@gmail.com" TargetMode="External"/><Relationship Id="rId124" Type="http://schemas.openxmlformats.org/officeDocument/2006/relationships/hyperlink" Target="mailto:tripathi.ashish47@gmail.com" TargetMode="External"/><Relationship Id="rId70" Type="http://schemas.openxmlformats.org/officeDocument/2006/relationships/hyperlink" Target="mailto:dittonadar@gmail.com" TargetMode="External"/><Relationship Id="rId91" Type="http://schemas.openxmlformats.org/officeDocument/2006/relationships/hyperlink" Target="mailto:sarbarigoswami1@gmail.com" TargetMode="External"/><Relationship Id="rId145" Type="http://schemas.openxmlformats.org/officeDocument/2006/relationships/hyperlink" Target="mailto:bharathi.aachi@gmail.com" TargetMode="External"/><Relationship Id="rId166" Type="http://schemas.openxmlformats.org/officeDocument/2006/relationships/hyperlink" Target="mailto:anuj@sgjewel.com" TargetMode="External"/><Relationship Id="rId1" Type="http://schemas.openxmlformats.org/officeDocument/2006/relationships/hyperlink" Target="mailto:mp0078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769A-099B-4121-9739-FA25689A4153}">
  <dimension ref="A2:AA197"/>
  <sheetViews>
    <sheetView tabSelected="1" zoomScaleNormal="100" zoomScaleSheetLayoutView="80" workbookViewId="0">
      <pane xSplit="4" ySplit="9" topLeftCell="T136" activePane="bottomRight" state="frozen"/>
      <selection pane="topRight" activeCell="E1" sqref="E1"/>
      <selection pane="bottomLeft" activeCell="A7" sqref="A7"/>
      <selection pane="bottomRight" activeCell="Y110" sqref="Y110"/>
    </sheetView>
  </sheetViews>
  <sheetFormatPr defaultColWidth="8.85546875" defaultRowHeight="15.75" x14ac:dyDescent="0.25"/>
  <cols>
    <col min="1" max="1" width="10.28515625" style="1" bestFit="1" customWidth="1"/>
    <col min="2" max="2" width="8.85546875" style="1"/>
    <col min="3" max="3" width="12.140625" style="1" customWidth="1"/>
    <col min="4" max="4" width="48.28515625" style="1" bestFit="1" customWidth="1"/>
    <col min="5" max="5" width="16.7109375" style="1" customWidth="1"/>
    <col min="6" max="6" width="15.85546875" style="1" customWidth="1"/>
    <col min="7" max="7" width="16.85546875" style="1" customWidth="1"/>
    <col min="8" max="8" width="31.5703125" style="1" bestFit="1" customWidth="1"/>
    <col min="9" max="9" width="18.7109375" style="1" bestFit="1" customWidth="1"/>
    <col min="10" max="25" width="18.7109375" style="1" customWidth="1"/>
    <col min="26" max="26" width="24.85546875" style="1" customWidth="1"/>
    <col min="27" max="16384" width="8.85546875" style="1"/>
  </cols>
  <sheetData>
    <row r="2" spans="1:26" ht="16.5" x14ac:dyDescent="0.25">
      <c r="B2" s="2" t="s">
        <v>0</v>
      </c>
    </row>
    <row r="3" spans="1:26" ht="16.5" x14ac:dyDescent="0.25">
      <c r="B3" s="2" t="s">
        <v>1</v>
      </c>
    </row>
    <row r="4" spans="1:26" ht="16.5" x14ac:dyDescent="0.25">
      <c r="B4" s="2" t="s">
        <v>2</v>
      </c>
    </row>
    <row r="7" spans="1:26" ht="16.5" x14ac:dyDescent="0.25">
      <c r="B7" s="2" t="s">
        <v>3</v>
      </c>
      <c r="C7" s="2"/>
    </row>
    <row r="8" spans="1:26" ht="31.15" customHeight="1" x14ac:dyDescent="0.25">
      <c r="I8" s="3" t="s">
        <v>4</v>
      </c>
      <c r="J8" s="4"/>
      <c r="K8" s="4"/>
      <c r="L8" s="4"/>
      <c r="M8" s="4"/>
      <c r="N8" s="5"/>
      <c r="O8" s="6" t="s">
        <v>5</v>
      </c>
      <c r="P8" s="7"/>
      <c r="Q8" s="7"/>
      <c r="R8" s="7"/>
      <c r="S8" s="7"/>
      <c r="T8" s="7"/>
      <c r="U8" s="8"/>
      <c r="V8" s="8"/>
      <c r="W8" s="8"/>
      <c r="X8" s="8"/>
      <c r="Y8" s="8"/>
    </row>
    <row r="9" spans="1:26" ht="40.5" x14ac:dyDescent="0.25">
      <c r="B9" s="9" t="s">
        <v>6</v>
      </c>
      <c r="C9" s="10" t="s">
        <v>7</v>
      </c>
      <c r="D9" s="11" t="s">
        <v>8</v>
      </c>
      <c r="E9" s="11" t="s">
        <v>9</v>
      </c>
      <c r="F9" s="11" t="s">
        <v>10</v>
      </c>
      <c r="G9" s="11" t="s">
        <v>11</v>
      </c>
      <c r="H9" s="11" t="s">
        <v>12</v>
      </c>
      <c r="I9" s="12" t="s">
        <v>13</v>
      </c>
      <c r="J9" s="12" t="s">
        <v>14</v>
      </c>
      <c r="K9" s="12" t="s">
        <v>15</v>
      </c>
      <c r="L9" s="12" t="s">
        <v>16</v>
      </c>
      <c r="M9" s="12" t="s">
        <v>17</v>
      </c>
      <c r="N9" s="12" t="s">
        <v>18</v>
      </c>
      <c r="O9" s="13" t="s">
        <v>13</v>
      </c>
      <c r="P9" s="13" t="s">
        <v>14</v>
      </c>
      <c r="Q9" s="13" t="s">
        <v>15</v>
      </c>
      <c r="R9" s="13" t="s">
        <v>16</v>
      </c>
      <c r="S9" s="13" t="s">
        <v>17</v>
      </c>
      <c r="T9" s="13" t="s">
        <v>18</v>
      </c>
      <c r="U9" s="14" t="s">
        <v>19</v>
      </c>
      <c r="V9" s="14" t="s">
        <v>20</v>
      </c>
      <c r="W9" s="14" t="s">
        <v>21</v>
      </c>
      <c r="X9" s="14" t="s">
        <v>22</v>
      </c>
      <c r="Y9" s="14" t="s">
        <v>23</v>
      </c>
      <c r="Z9" s="15" t="s">
        <v>24</v>
      </c>
    </row>
    <row r="10" spans="1:26" ht="31.5" x14ac:dyDescent="0.25">
      <c r="A10" s="1" t="s">
        <v>25</v>
      </c>
      <c r="B10" s="16">
        <v>1</v>
      </c>
      <c r="C10" s="16" t="s">
        <v>26</v>
      </c>
      <c r="D10" s="17" t="s">
        <v>27</v>
      </c>
      <c r="E10" s="18" t="s">
        <v>28</v>
      </c>
      <c r="F10" s="16" t="s">
        <v>29</v>
      </c>
      <c r="G10" s="16">
        <v>210</v>
      </c>
      <c r="H10" s="19" t="s">
        <v>30</v>
      </c>
      <c r="I10" s="20">
        <f>10000+57500+267750</f>
        <v>335250</v>
      </c>
      <c r="J10" s="20">
        <v>227307</v>
      </c>
      <c r="K10" s="21">
        <v>0</v>
      </c>
      <c r="L10" s="21">
        <v>0</v>
      </c>
      <c r="M10" s="20">
        <v>20000</v>
      </c>
      <c r="N10" s="20">
        <f>SUM(I10:M10)</f>
        <v>582557</v>
      </c>
      <c r="O10" s="22">
        <f>1000+9000+57500+267750-25000</f>
        <v>310250</v>
      </c>
      <c r="P10" s="22">
        <f>+J10/11.25%*8%</f>
        <v>161640.53333333333</v>
      </c>
      <c r="Q10" s="22">
        <v>0</v>
      </c>
      <c r="R10" s="22">
        <v>0</v>
      </c>
      <c r="S10" s="22">
        <v>0</v>
      </c>
      <c r="T10" s="22">
        <f>SUM(O10:S10)</f>
        <v>471890.53333333333</v>
      </c>
      <c r="U10" s="23"/>
      <c r="V10" s="23">
        <f>+(I10-O10)+(J10-P10)+K10+L10+M10-U10</f>
        <v>110666.46666666667</v>
      </c>
      <c r="W10" s="23">
        <f>+T10+V10+U10</f>
        <v>582557</v>
      </c>
      <c r="X10" s="23">
        <f>+W10-N10</f>
        <v>0</v>
      </c>
      <c r="Y10" s="24">
        <f>+T10*$Y$196/$T$196</f>
        <v>6.6845681875708817E-3</v>
      </c>
      <c r="Z10" s="16" t="s">
        <v>31</v>
      </c>
    </row>
    <row r="11" spans="1:26" x14ac:dyDescent="0.25">
      <c r="A11" s="1" t="s">
        <v>25</v>
      </c>
      <c r="B11" s="16">
        <v>2</v>
      </c>
      <c r="C11" s="16" t="s">
        <v>32</v>
      </c>
      <c r="D11" s="17" t="s">
        <v>33</v>
      </c>
      <c r="E11" s="17" t="s">
        <v>34</v>
      </c>
      <c r="F11" s="16" t="s">
        <v>35</v>
      </c>
      <c r="G11" s="16">
        <v>103</v>
      </c>
      <c r="H11" s="19" t="s">
        <v>36</v>
      </c>
      <c r="I11" s="25">
        <v>1213200</v>
      </c>
      <c r="J11" s="26">
        <v>0</v>
      </c>
      <c r="K11" s="21">
        <v>0</v>
      </c>
      <c r="L11" s="21">
        <v>0</v>
      </c>
      <c r="M11" s="21">
        <v>0</v>
      </c>
      <c r="N11" s="20">
        <f t="shared" ref="N11:N74" si="0">SUM(I11:M11)</f>
        <v>1213200</v>
      </c>
      <c r="O11" s="27">
        <f>97200+144000+97200+800000+74800</f>
        <v>1213200</v>
      </c>
      <c r="P11" s="27">
        <v>0</v>
      </c>
      <c r="Q11" s="27">
        <v>0</v>
      </c>
      <c r="R11" s="27">
        <v>0</v>
      </c>
      <c r="S11" s="27">
        <v>0</v>
      </c>
      <c r="T11" s="22">
        <f t="shared" ref="T11:T74" si="1">SUM(O11:S11)</f>
        <v>1213200</v>
      </c>
      <c r="U11" s="23"/>
      <c r="V11" s="23">
        <f t="shared" ref="V11:V74" si="2">+(I11-O11)+(J11-P11)+K11+L11+M11-U11</f>
        <v>0</v>
      </c>
      <c r="W11" s="23">
        <f t="shared" ref="W11:W74" si="3">+T11+V11+U11</f>
        <v>1213200</v>
      </c>
      <c r="X11" s="23">
        <f t="shared" ref="X11:X74" si="4">+W11-N11</f>
        <v>0</v>
      </c>
      <c r="Y11" s="24">
        <f t="shared" ref="Y11:Y74" si="5">+T11*$Y$196/$T$196</f>
        <v>1.7185591895382362E-2</v>
      </c>
      <c r="Z11" s="16" t="s">
        <v>31</v>
      </c>
    </row>
    <row r="12" spans="1:26" ht="30" x14ac:dyDescent="0.25">
      <c r="A12" s="1" t="s">
        <v>25</v>
      </c>
      <c r="B12" s="16">
        <v>3</v>
      </c>
      <c r="C12" s="16" t="s">
        <v>37</v>
      </c>
      <c r="D12" s="17" t="s">
        <v>38</v>
      </c>
      <c r="E12" s="17" t="s">
        <v>34</v>
      </c>
      <c r="F12" s="16" t="s">
        <v>39</v>
      </c>
      <c r="G12" s="16" t="s">
        <v>40</v>
      </c>
      <c r="H12" s="28" t="s">
        <v>41</v>
      </c>
      <c r="I12" s="25">
        <v>2640014</v>
      </c>
      <c r="J12" s="25">
        <v>2015291</v>
      </c>
      <c r="K12" s="21"/>
      <c r="L12" s="21">
        <v>428521</v>
      </c>
      <c r="M12" s="21">
        <v>65042</v>
      </c>
      <c r="N12" s="20">
        <f t="shared" si="0"/>
        <v>5148868</v>
      </c>
      <c r="O12" s="27">
        <v>2640014</v>
      </c>
      <c r="P12" s="27">
        <f>+J12/10%*8%</f>
        <v>1612232.8</v>
      </c>
      <c r="Q12" s="27"/>
      <c r="R12" s="27"/>
      <c r="S12" s="27"/>
      <c r="T12" s="22">
        <f t="shared" si="1"/>
        <v>4252246.8</v>
      </c>
      <c r="U12" s="23"/>
      <c r="V12" s="23">
        <f t="shared" si="2"/>
        <v>896621.2</v>
      </c>
      <c r="W12" s="23">
        <f t="shared" si="3"/>
        <v>5148868</v>
      </c>
      <c r="X12" s="23">
        <f t="shared" si="4"/>
        <v>0</v>
      </c>
      <c r="Y12" s="24">
        <f t="shared" si="5"/>
        <v>6.0235227615599719E-2</v>
      </c>
      <c r="Z12" s="17" t="s">
        <v>42</v>
      </c>
    </row>
    <row r="13" spans="1:26" ht="31.5" x14ac:dyDescent="0.25">
      <c r="A13" s="1" t="s">
        <v>25</v>
      </c>
      <c r="B13" s="16">
        <v>4</v>
      </c>
      <c r="C13" s="16" t="s">
        <v>43</v>
      </c>
      <c r="D13" s="17" t="s">
        <v>44</v>
      </c>
      <c r="E13" s="18" t="s">
        <v>28</v>
      </c>
      <c r="F13" s="16" t="s">
        <v>45</v>
      </c>
      <c r="G13" s="16">
        <v>205</v>
      </c>
      <c r="H13" s="19" t="s">
        <v>46</v>
      </c>
      <c r="I13" s="25">
        <v>835400</v>
      </c>
      <c r="J13" s="25">
        <v>1567646</v>
      </c>
      <c r="K13" s="21">
        <v>0</v>
      </c>
      <c r="L13" s="21">
        <v>0</v>
      </c>
      <c r="M13" s="21">
        <v>0</v>
      </c>
      <c r="N13" s="20">
        <f t="shared" si="0"/>
        <v>2403046</v>
      </c>
      <c r="O13" s="27">
        <f>105000+280000+140000+275400+35000</f>
        <v>835400</v>
      </c>
      <c r="P13" s="27">
        <f>+J13/18%*8%</f>
        <v>696731.5555555555</v>
      </c>
      <c r="Q13" s="27">
        <v>0</v>
      </c>
      <c r="R13" s="27">
        <v>0</v>
      </c>
      <c r="S13" s="27">
        <v>0</v>
      </c>
      <c r="T13" s="22">
        <f t="shared" si="1"/>
        <v>1532131.5555555555</v>
      </c>
      <c r="U13" s="23"/>
      <c r="V13" s="23">
        <f t="shared" si="2"/>
        <v>870914.4444444445</v>
      </c>
      <c r="W13" s="23">
        <f t="shared" si="3"/>
        <v>2403046</v>
      </c>
      <c r="X13" s="23">
        <f t="shared" si="4"/>
        <v>0</v>
      </c>
      <c r="Y13" s="24">
        <f t="shared" si="5"/>
        <v>2.1703418763448012E-2</v>
      </c>
      <c r="Z13" s="17" t="s">
        <v>47</v>
      </c>
    </row>
    <row r="14" spans="1:26" ht="31.5" x14ac:dyDescent="0.25">
      <c r="A14" s="1" t="s">
        <v>25</v>
      </c>
      <c r="B14" s="16">
        <v>5</v>
      </c>
      <c r="C14" s="16" t="s">
        <v>48</v>
      </c>
      <c r="D14" s="17" t="s">
        <v>49</v>
      </c>
      <c r="E14" s="18" t="s">
        <v>28</v>
      </c>
      <c r="F14" s="16" t="s">
        <v>45</v>
      </c>
      <c r="G14" s="16">
        <v>206</v>
      </c>
      <c r="H14" s="19" t="s">
        <v>50</v>
      </c>
      <c r="I14" s="25">
        <v>835400</v>
      </c>
      <c r="J14" s="25">
        <v>1567438</v>
      </c>
      <c r="K14" s="21">
        <v>0</v>
      </c>
      <c r="L14" s="21">
        <v>0</v>
      </c>
      <c r="M14" s="21">
        <v>0</v>
      </c>
      <c r="N14" s="20">
        <f t="shared" si="0"/>
        <v>2402838</v>
      </c>
      <c r="O14" s="27">
        <f>105000+280000+140000+275400+35000</f>
        <v>835400</v>
      </c>
      <c r="P14" s="27">
        <f>+J14/18%*8%</f>
        <v>696639.11111111124</v>
      </c>
      <c r="Q14" s="27">
        <v>0</v>
      </c>
      <c r="R14" s="27">
        <v>0</v>
      </c>
      <c r="S14" s="27">
        <v>0</v>
      </c>
      <c r="T14" s="22">
        <f t="shared" si="1"/>
        <v>1532039.1111111112</v>
      </c>
      <c r="U14" s="23"/>
      <c r="V14" s="23">
        <f t="shared" si="2"/>
        <v>870798.88888888876</v>
      </c>
      <c r="W14" s="23">
        <f t="shared" si="3"/>
        <v>2402838</v>
      </c>
      <c r="X14" s="23">
        <f t="shared" si="4"/>
        <v>0</v>
      </c>
      <c r="Y14" s="24">
        <f t="shared" si="5"/>
        <v>2.1702109241114338E-2</v>
      </c>
      <c r="Z14" s="17" t="s">
        <v>47</v>
      </c>
    </row>
    <row r="15" spans="1:26" x14ac:dyDescent="0.25">
      <c r="A15" s="1" t="s">
        <v>25</v>
      </c>
      <c r="B15" s="16">
        <v>6</v>
      </c>
      <c r="C15" s="16" t="s">
        <v>51</v>
      </c>
      <c r="D15" s="17" t="s">
        <v>52</v>
      </c>
      <c r="E15" s="29"/>
      <c r="F15" s="16" t="s">
        <v>53</v>
      </c>
      <c r="G15" s="16">
        <v>103</v>
      </c>
      <c r="H15" s="19" t="s">
        <v>54</v>
      </c>
      <c r="I15" s="25">
        <v>850000</v>
      </c>
      <c r="J15" s="25">
        <v>990616</v>
      </c>
      <c r="K15" s="21"/>
      <c r="L15" s="21">
        <v>0</v>
      </c>
      <c r="M15" s="21">
        <v>0</v>
      </c>
      <c r="N15" s="20">
        <f t="shared" si="0"/>
        <v>1840616</v>
      </c>
      <c r="O15" s="27">
        <v>850000</v>
      </c>
      <c r="P15" s="27">
        <f>+J15/18%*8%</f>
        <v>440273.77777777775</v>
      </c>
      <c r="Q15" s="27">
        <v>0</v>
      </c>
      <c r="R15" s="27">
        <v>0</v>
      </c>
      <c r="S15" s="27">
        <v>0</v>
      </c>
      <c r="T15" s="22">
        <f t="shared" si="1"/>
        <v>1290273.7777777778</v>
      </c>
      <c r="U15" s="23"/>
      <c r="V15" s="23">
        <f t="shared" si="2"/>
        <v>550342.22222222225</v>
      </c>
      <c r="W15" s="23">
        <f t="shared" si="3"/>
        <v>1840616</v>
      </c>
      <c r="X15" s="23">
        <f t="shared" si="4"/>
        <v>0</v>
      </c>
      <c r="Y15" s="24">
        <f t="shared" si="5"/>
        <v>1.8277380957964193E-2</v>
      </c>
      <c r="Z15" s="17" t="s">
        <v>55</v>
      </c>
    </row>
    <row r="16" spans="1:26" x14ac:dyDescent="0.25">
      <c r="A16" s="1" t="s">
        <v>25</v>
      </c>
      <c r="B16" s="16">
        <v>7</v>
      </c>
      <c r="C16" s="16" t="s">
        <v>56</v>
      </c>
      <c r="D16" s="17" t="s">
        <v>57</v>
      </c>
      <c r="E16" s="17"/>
      <c r="F16" s="17"/>
      <c r="G16" s="30"/>
      <c r="H16" s="19" t="s">
        <v>58</v>
      </c>
      <c r="I16" s="25">
        <v>2700000</v>
      </c>
      <c r="J16" s="25">
        <v>10900000</v>
      </c>
      <c r="K16" s="21"/>
      <c r="L16" s="21"/>
      <c r="M16" s="21"/>
      <c r="N16" s="20">
        <f t="shared" si="0"/>
        <v>13600000</v>
      </c>
      <c r="O16" s="27">
        <v>2700000</v>
      </c>
      <c r="P16" s="27">
        <f>+J16/26%*8%</f>
        <v>3353846.1538461535</v>
      </c>
      <c r="Q16" s="27"/>
      <c r="R16" s="27"/>
      <c r="S16" s="27"/>
      <c r="T16" s="22">
        <f t="shared" si="1"/>
        <v>6053846.153846154</v>
      </c>
      <c r="U16" s="23">
        <v>7546154</v>
      </c>
      <c r="V16" s="23">
        <f t="shared" si="2"/>
        <v>-0.15384615398943424</v>
      </c>
      <c r="W16" s="23">
        <f t="shared" si="3"/>
        <v>13600000</v>
      </c>
      <c r="X16" s="23">
        <f t="shared" si="4"/>
        <v>0</v>
      </c>
      <c r="Y16" s="24">
        <f t="shared" si="5"/>
        <v>8.5755794096134305E-2</v>
      </c>
      <c r="Z16" s="16" t="s">
        <v>31</v>
      </c>
    </row>
    <row r="17" spans="1:26" ht="47.25" x14ac:dyDescent="0.25">
      <c r="A17" s="1" t="s">
        <v>25</v>
      </c>
      <c r="B17" s="16">
        <v>8</v>
      </c>
      <c r="C17" s="16" t="s">
        <v>59</v>
      </c>
      <c r="D17" s="17" t="s">
        <v>60</v>
      </c>
      <c r="E17" s="17"/>
      <c r="F17" s="16" t="s">
        <v>61</v>
      </c>
      <c r="G17" s="16" t="s">
        <v>62</v>
      </c>
      <c r="H17" s="19" t="s">
        <v>63</v>
      </c>
      <c r="I17" s="25">
        <v>2700000</v>
      </c>
      <c r="J17" s="25">
        <f>14203019-I17</f>
        <v>11503019</v>
      </c>
      <c r="K17" s="21"/>
      <c r="L17" s="21"/>
      <c r="M17" s="21"/>
      <c r="N17" s="20">
        <f t="shared" si="0"/>
        <v>14203019</v>
      </c>
      <c r="O17" s="27">
        <v>2700000</v>
      </c>
      <c r="P17" s="27">
        <f>+J17/26%*8%</f>
        <v>3539390.4615384615</v>
      </c>
      <c r="Q17" s="27"/>
      <c r="R17" s="27"/>
      <c r="S17" s="27"/>
      <c r="T17" s="22">
        <f t="shared" si="1"/>
        <v>6239390.461538462</v>
      </c>
      <c r="U17" s="23">
        <v>7963629</v>
      </c>
      <c r="V17" s="23">
        <f t="shared" si="2"/>
        <v>-0.46153846196830273</v>
      </c>
      <c r="W17" s="23">
        <f t="shared" si="3"/>
        <v>14203019</v>
      </c>
      <c r="X17" s="23">
        <f t="shared" si="4"/>
        <v>0</v>
      </c>
      <c r="Y17" s="24">
        <f t="shared" si="5"/>
        <v>8.8384123102490442E-2</v>
      </c>
      <c r="Z17" s="18" t="s">
        <v>64</v>
      </c>
    </row>
    <row r="18" spans="1:26" ht="30" x14ac:dyDescent="0.25">
      <c r="A18" s="1" t="s">
        <v>25</v>
      </c>
      <c r="B18" s="16">
        <v>9</v>
      </c>
      <c r="C18" s="16" t="s">
        <v>65</v>
      </c>
      <c r="D18" s="17" t="s">
        <v>66</v>
      </c>
      <c r="E18" s="17"/>
      <c r="F18" s="16" t="s">
        <v>67</v>
      </c>
      <c r="G18" s="16" t="s">
        <v>68</v>
      </c>
      <c r="H18" s="28" t="s">
        <v>69</v>
      </c>
      <c r="I18" s="25">
        <v>640843</v>
      </c>
      <c r="J18" s="25"/>
      <c r="K18" s="21">
        <v>0</v>
      </c>
      <c r="L18" s="21">
        <v>0</v>
      </c>
      <c r="M18" s="21">
        <v>0</v>
      </c>
      <c r="N18" s="20">
        <f t="shared" si="0"/>
        <v>640843</v>
      </c>
      <c r="O18" s="27">
        <v>640843</v>
      </c>
      <c r="P18" s="27"/>
      <c r="Q18" s="27">
        <v>0</v>
      </c>
      <c r="R18" s="27">
        <v>0</v>
      </c>
      <c r="S18" s="27">
        <v>0</v>
      </c>
      <c r="T18" s="22">
        <f t="shared" si="1"/>
        <v>640843</v>
      </c>
      <c r="U18" s="23"/>
      <c r="V18" s="23">
        <f t="shared" si="2"/>
        <v>0</v>
      </c>
      <c r="W18" s="23">
        <f t="shared" si="3"/>
        <v>640843</v>
      </c>
      <c r="X18" s="23">
        <f t="shared" si="4"/>
        <v>0</v>
      </c>
      <c r="Y18" s="24">
        <f t="shared" si="5"/>
        <v>9.0778653701059329E-3</v>
      </c>
      <c r="Z18" s="17" t="s">
        <v>47</v>
      </c>
    </row>
    <row r="19" spans="1:26" ht="31.5" x14ac:dyDescent="0.25">
      <c r="A19" s="1" t="s">
        <v>25</v>
      </c>
      <c r="B19" s="16">
        <v>10</v>
      </c>
      <c r="C19" s="16" t="s">
        <v>70</v>
      </c>
      <c r="D19" s="17" t="s">
        <v>71</v>
      </c>
      <c r="E19" s="18" t="s">
        <v>72</v>
      </c>
      <c r="F19" s="16" t="s">
        <v>35</v>
      </c>
      <c r="G19" s="16">
        <v>1101</v>
      </c>
      <c r="H19" s="19" t="s">
        <v>73</v>
      </c>
      <c r="I19" s="25">
        <v>894521</v>
      </c>
      <c r="J19" s="25"/>
      <c r="K19" s="21">
        <v>0</v>
      </c>
      <c r="L19" s="21">
        <v>0</v>
      </c>
      <c r="M19" s="21">
        <v>0</v>
      </c>
      <c r="N19" s="20">
        <f t="shared" si="0"/>
        <v>894521</v>
      </c>
      <c r="O19" s="27">
        <f>128026+32534+100000+14964+200000+129329+150000+139668</f>
        <v>894521</v>
      </c>
      <c r="P19" s="27"/>
      <c r="Q19" s="27">
        <v>0</v>
      </c>
      <c r="R19" s="27">
        <v>0</v>
      </c>
      <c r="S19" s="27">
        <v>0</v>
      </c>
      <c r="T19" s="22">
        <f t="shared" si="1"/>
        <v>894521</v>
      </c>
      <c r="U19" s="23"/>
      <c r="V19" s="23">
        <f t="shared" si="2"/>
        <v>0</v>
      </c>
      <c r="W19" s="23">
        <f t="shared" si="3"/>
        <v>894521</v>
      </c>
      <c r="X19" s="23">
        <f t="shared" si="4"/>
        <v>0</v>
      </c>
      <c r="Y19" s="24">
        <f t="shared" si="5"/>
        <v>1.2671342604557637E-2</v>
      </c>
      <c r="Z19" s="17" t="s">
        <v>42</v>
      </c>
    </row>
    <row r="20" spans="1:26" x14ac:dyDescent="0.25">
      <c r="A20" s="1" t="s">
        <v>74</v>
      </c>
      <c r="B20" s="16">
        <v>11</v>
      </c>
      <c r="C20" s="16" t="s">
        <v>75</v>
      </c>
      <c r="D20" s="17" t="s">
        <v>71</v>
      </c>
      <c r="E20" s="17"/>
      <c r="F20" s="16" t="s">
        <v>35</v>
      </c>
      <c r="G20" s="16">
        <v>1102</v>
      </c>
      <c r="H20" s="19" t="s">
        <v>73</v>
      </c>
      <c r="I20" s="21">
        <f>1054765</f>
        <v>1054765</v>
      </c>
      <c r="J20" s="21"/>
      <c r="K20" s="21"/>
      <c r="L20" s="21">
        <v>0</v>
      </c>
      <c r="M20" s="21">
        <v>0</v>
      </c>
      <c r="N20" s="20">
        <f t="shared" si="0"/>
        <v>1054765</v>
      </c>
      <c r="O20" s="22">
        <f>95600+131389+817088</f>
        <v>1044077</v>
      </c>
      <c r="P20" s="22"/>
      <c r="Q20" s="22"/>
      <c r="R20" s="22">
        <v>0</v>
      </c>
      <c r="S20" s="22"/>
      <c r="T20" s="22">
        <f t="shared" si="1"/>
        <v>1044077</v>
      </c>
      <c r="U20" s="23"/>
      <c r="V20" s="23">
        <f t="shared" si="2"/>
        <v>10688</v>
      </c>
      <c r="W20" s="23">
        <f t="shared" si="3"/>
        <v>1054765</v>
      </c>
      <c r="X20" s="23">
        <f t="shared" si="4"/>
        <v>0</v>
      </c>
      <c r="Y20" s="24">
        <f t="shared" si="5"/>
        <v>1.47898790218885E-2</v>
      </c>
      <c r="Z20" s="17" t="s">
        <v>42</v>
      </c>
    </row>
    <row r="21" spans="1:26" x14ac:dyDescent="0.25">
      <c r="A21" s="1" t="s">
        <v>74</v>
      </c>
      <c r="B21" s="16">
        <v>12</v>
      </c>
      <c r="C21" s="16" t="s">
        <v>76</v>
      </c>
      <c r="D21" s="17" t="s">
        <v>77</v>
      </c>
      <c r="E21" s="17"/>
      <c r="F21" s="16" t="s">
        <v>78</v>
      </c>
      <c r="G21" s="16">
        <v>12</v>
      </c>
      <c r="H21" s="19" t="s">
        <v>79</v>
      </c>
      <c r="I21" s="21">
        <f>2299852</f>
        <v>2299852</v>
      </c>
      <c r="J21" s="21">
        <v>2104667</v>
      </c>
      <c r="K21" s="21"/>
      <c r="L21" s="21">
        <v>0</v>
      </c>
      <c r="M21" s="21"/>
      <c r="N21" s="20">
        <f t="shared" si="0"/>
        <v>4404519</v>
      </c>
      <c r="O21" s="22">
        <f>50000+48852+50000+50000+40000+100000+40000+40000+60000+70000+185000+45000+20000+117000+35000+590000+600000+140000+19000</f>
        <v>2299852</v>
      </c>
      <c r="P21" s="22">
        <f>+J21/18%*8%</f>
        <v>935407.5555555555</v>
      </c>
      <c r="Q21" s="22"/>
      <c r="R21" s="22">
        <v>0</v>
      </c>
      <c r="S21" s="22"/>
      <c r="T21" s="22">
        <f t="shared" si="1"/>
        <v>3235259.5555555555</v>
      </c>
      <c r="U21" s="23"/>
      <c r="V21" s="23">
        <f t="shared" si="2"/>
        <v>1169259.4444444445</v>
      </c>
      <c r="W21" s="23">
        <f t="shared" si="3"/>
        <v>4404519</v>
      </c>
      <c r="X21" s="23">
        <f t="shared" si="4"/>
        <v>0</v>
      </c>
      <c r="Y21" s="24">
        <f t="shared" si="5"/>
        <v>4.5829088688933317E-2</v>
      </c>
      <c r="Z21" s="16" t="s">
        <v>31</v>
      </c>
    </row>
    <row r="22" spans="1:26" x14ac:dyDescent="0.25">
      <c r="A22" s="1" t="s">
        <v>74</v>
      </c>
      <c r="B22" s="16">
        <v>13</v>
      </c>
      <c r="C22" s="16" t="s">
        <v>80</v>
      </c>
      <c r="D22" s="17" t="s">
        <v>81</v>
      </c>
      <c r="E22" s="17"/>
      <c r="F22" s="16" t="s">
        <v>82</v>
      </c>
      <c r="G22" s="16">
        <v>801</v>
      </c>
      <c r="H22" s="19" t="s">
        <v>83</v>
      </c>
      <c r="I22" s="21">
        <f>2375722-L22</f>
        <v>2158222</v>
      </c>
      <c r="J22" s="21">
        <v>2330725</v>
      </c>
      <c r="K22" s="21"/>
      <c r="L22" s="21">
        <f>187500+30000</f>
        <v>217500</v>
      </c>
      <c r="M22" s="21">
        <v>0</v>
      </c>
      <c r="N22" s="20">
        <f t="shared" si="0"/>
        <v>4706447</v>
      </c>
      <c r="O22" s="22">
        <v>1658602</v>
      </c>
      <c r="P22" s="22">
        <f>+J22/18%*8%</f>
        <v>1035877.7777777778</v>
      </c>
      <c r="Q22" s="22"/>
      <c r="R22" s="22">
        <v>0</v>
      </c>
      <c r="S22" s="22"/>
      <c r="T22" s="22">
        <f t="shared" si="1"/>
        <v>2694479.777777778</v>
      </c>
      <c r="U22" s="23"/>
      <c r="V22" s="23">
        <f t="shared" si="2"/>
        <v>2011967.2222222222</v>
      </c>
      <c r="W22" s="23">
        <f t="shared" si="3"/>
        <v>4706447</v>
      </c>
      <c r="X22" s="23">
        <f t="shared" si="4"/>
        <v>0</v>
      </c>
      <c r="Y22" s="24">
        <f t="shared" si="5"/>
        <v>3.8168669494930307E-2</v>
      </c>
      <c r="Z22" s="17" t="s">
        <v>47</v>
      </c>
    </row>
    <row r="23" spans="1:26" x14ac:dyDescent="0.25">
      <c r="A23" s="1" t="s">
        <v>74</v>
      </c>
      <c r="B23" s="16">
        <v>14</v>
      </c>
      <c r="C23" s="16" t="s">
        <v>84</v>
      </c>
      <c r="D23" s="17" t="s">
        <v>85</v>
      </c>
      <c r="E23" s="17"/>
      <c r="F23" s="16" t="s">
        <v>78</v>
      </c>
      <c r="G23" s="16">
        <v>614</v>
      </c>
      <c r="H23" s="19" t="s">
        <v>86</v>
      </c>
      <c r="I23" s="21">
        <v>744391</v>
      </c>
      <c r="J23" s="21">
        <v>320991</v>
      </c>
      <c r="K23" s="21"/>
      <c r="L23" s="21"/>
      <c r="M23" s="21"/>
      <c r="N23" s="20">
        <f t="shared" si="0"/>
        <v>1065382</v>
      </c>
      <c r="O23" s="22">
        <v>744391</v>
      </c>
      <c r="P23" s="22">
        <f>+J23/11.3%*8%</f>
        <v>227250.26548672564</v>
      </c>
      <c r="Q23" s="22"/>
      <c r="R23" s="22"/>
      <c r="S23" s="22"/>
      <c r="T23" s="22">
        <f t="shared" si="1"/>
        <v>971641.26548672561</v>
      </c>
      <c r="U23" s="23"/>
      <c r="V23" s="23">
        <f t="shared" si="2"/>
        <v>93740.734513274365</v>
      </c>
      <c r="W23" s="23">
        <f t="shared" si="3"/>
        <v>1065382</v>
      </c>
      <c r="X23" s="23">
        <f t="shared" si="4"/>
        <v>0</v>
      </c>
      <c r="Y23" s="24">
        <f t="shared" si="5"/>
        <v>1.3763790189060118E-2</v>
      </c>
      <c r="Z23" s="17" t="s">
        <v>47</v>
      </c>
    </row>
    <row r="24" spans="1:26" x14ac:dyDescent="0.25">
      <c r="A24" s="1" t="s">
        <v>74</v>
      </c>
      <c r="B24" s="16">
        <v>15</v>
      </c>
      <c r="C24" s="16" t="s">
        <v>87</v>
      </c>
      <c r="D24" s="17" t="s">
        <v>88</v>
      </c>
      <c r="E24" s="17"/>
      <c r="F24" s="16" t="s">
        <v>89</v>
      </c>
      <c r="G24" s="16">
        <v>301</v>
      </c>
      <c r="H24" s="19" t="s">
        <v>90</v>
      </c>
      <c r="I24" s="21">
        <v>404250</v>
      </c>
      <c r="J24" s="21">
        <v>410130</v>
      </c>
      <c r="K24" s="21"/>
      <c r="L24" s="21"/>
      <c r="M24" s="21"/>
      <c r="N24" s="20">
        <f t="shared" si="0"/>
        <v>814380</v>
      </c>
      <c r="O24" s="22">
        <v>408792</v>
      </c>
      <c r="P24" s="22">
        <f>+J24/9%*8%</f>
        <v>364560</v>
      </c>
      <c r="Q24" s="22"/>
      <c r="R24" s="22"/>
      <c r="S24" s="22"/>
      <c r="T24" s="22">
        <f t="shared" si="1"/>
        <v>773352</v>
      </c>
      <c r="U24" s="23"/>
      <c r="V24" s="23">
        <f t="shared" si="2"/>
        <v>41028</v>
      </c>
      <c r="W24" s="23">
        <f t="shared" si="3"/>
        <v>814380</v>
      </c>
      <c r="X24" s="23">
        <f t="shared" si="4"/>
        <v>0</v>
      </c>
      <c r="Y24" s="24">
        <f t="shared" si="5"/>
        <v>1.0954922406427415E-2</v>
      </c>
      <c r="Z24" s="17" t="s">
        <v>47</v>
      </c>
    </row>
    <row r="25" spans="1:26" x14ac:dyDescent="0.25">
      <c r="A25" s="1" t="s">
        <v>74</v>
      </c>
      <c r="B25" s="16">
        <v>16</v>
      </c>
      <c r="C25" s="16" t="s">
        <v>91</v>
      </c>
      <c r="D25" s="17" t="s">
        <v>92</v>
      </c>
      <c r="E25" s="17"/>
      <c r="F25" s="16" t="s">
        <v>93</v>
      </c>
      <c r="G25" s="16">
        <v>301</v>
      </c>
      <c r="H25" s="19" t="s">
        <v>94</v>
      </c>
      <c r="I25" s="21">
        <v>598440</v>
      </c>
      <c r="J25" s="21">
        <v>346013</v>
      </c>
      <c r="K25" s="21"/>
      <c r="L25" s="21"/>
      <c r="M25" s="21"/>
      <c r="N25" s="20">
        <f t="shared" si="0"/>
        <v>944453</v>
      </c>
      <c r="O25" s="22">
        <v>598440</v>
      </c>
      <c r="P25" s="22">
        <f>+J25</f>
        <v>346013</v>
      </c>
      <c r="Q25" s="22"/>
      <c r="R25" s="22"/>
      <c r="S25" s="22"/>
      <c r="T25" s="22">
        <f t="shared" si="1"/>
        <v>944453</v>
      </c>
      <c r="U25" s="23"/>
      <c r="V25" s="23">
        <f t="shared" si="2"/>
        <v>0</v>
      </c>
      <c r="W25" s="23">
        <f t="shared" si="3"/>
        <v>944453</v>
      </c>
      <c r="X25" s="23">
        <f t="shared" si="4"/>
        <v>0</v>
      </c>
      <c r="Y25" s="24">
        <f t="shared" si="5"/>
        <v>1.337865465081566E-2</v>
      </c>
      <c r="Z25" s="17" t="s">
        <v>47</v>
      </c>
    </row>
    <row r="26" spans="1:26" ht="47.25" x14ac:dyDescent="0.25">
      <c r="A26" s="1" t="s">
        <v>74</v>
      </c>
      <c r="B26" s="16">
        <v>17</v>
      </c>
      <c r="C26" s="16" t="s">
        <v>95</v>
      </c>
      <c r="D26" s="17" t="s">
        <v>96</v>
      </c>
      <c r="E26" s="17"/>
      <c r="F26" s="16" t="s">
        <v>35</v>
      </c>
      <c r="G26" s="16">
        <v>403</v>
      </c>
      <c r="H26" s="19" t="s">
        <v>97</v>
      </c>
      <c r="I26" s="21">
        <f>1271240-L26-M26</f>
        <v>1114227</v>
      </c>
      <c r="J26" s="21">
        <f>1913237-I26-L26-M26</f>
        <v>641997</v>
      </c>
      <c r="K26" s="21"/>
      <c r="L26" s="21">
        <v>131640</v>
      </c>
      <c r="M26" s="21">
        <v>25373</v>
      </c>
      <c r="N26" s="20">
        <f t="shared" si="0"/>
        <v>1913237</v>
      </c>
      <c r="O26" s="22">
        <v>1139600</v>
      </c>
      <c r="P26" s="22">
        <f>+J26/8.95%*8%</f>
        <v>573852.06703910616</v>
      </c>
      <c r="Q26" s="22"/>
      <c r="R26" s="22">
        <v>0</v>
      </c>
      <c r="S26" s="22"/>
      <c r="T26" s="22">
        <f t="shared" si="1"/>
        <v>1713452.067039106</v>
      </c>
      <c r="U26" s="23"/>
      <c r="V26" s="23">
        <f t="shared" si="2"/>
        <v>199784.93296089384</v>
      </c>
      <c r="W26" s="23">
        <f t="shared" si="3"/>
        <v>1913237</v>
      </c>
      <c r="X26" s="23">
        <f t="shared" si="4"/>
        <v>0</v>
      </c>
      <c r="Y26" s="24">
        <f t="shared" si="5"/>
        <v>2.4271915559209871E-2</v>
      </c>
      <c r="Z26" s="18" t="s">
        <v>64</v>
      </c>
    </row>
    <row r="27" spans="1:26" ht="47.25" x14ac:dyDescent="0.25">
      <c r="A27" s="1" t="s">
        <v>74</v>
      </c>
      <c r="B27" s="16">
        <v>18</v>
      </c>
      <c r="C27" s="16" t="s">
        <v>98</v>
      </c>
      <c r="D27" s="17" t="s">
        <v>99</v>
      </c>
      <c r="E27" s="17"/>
      <c r="F27" s="16" t="s">
        <v>100</v>
      </c>
      <c r="G27" s="16">
        <v>2303</v>
      </c>
      <c r="H27" s="19" t="s">
        <v>101</v>
      </c>
      <c r="I27" s="21">
        <f>1326688-L27</f>
        <v>1177088</v>
      </c>
      <c r="J27" s="21">
        <f>1850082-1326688-108878</f>
        <v>414516</v>
      </c>
      <c r="K27" s="21"/>
      <c r="L27" s="21">
        <v>149600</v>
      </c>
      <c r="M27" s="21">
        <v>108878</v>
      </c>
      <c r="N27" s="20">
        <f t="shared" si="0"/>
        <v>1850082</v>
      </c>
      <c r="O27" s="22">
        <v>1177088</v>
      </c>
      <c r="P27" s="22">
        <f>+J27/8.9%*8%</f>
        <v>372598.65168539324</v>
      </c>
      <c r="Q27" s="22"/>
      <c r="R27" s="22">
        <v>0</v>
      </c>
      <c r="S27" s="22"/>
      <c r="T27" s="22">
        <f t="shared" si="1"/>
        <v>1549686.6516853932</v>
      </c>
      <c r="U27" s="23"/>
      <c r="V27" s="23">
        <f t="shared" si="2"/>
        <v>300395.34831460676</v>
      </c>
      <c r="W27" s="23">
        <f t="shared" si="3"/>
        <v>1850082</v>
      </c>
      <c r="X27" s="23">
        <f t="shared" si="4"/>
        <v>0</v>
      </c>
      <c r="Y27" s="24">
        <f t="shared" si="5"/>
        <v>2.1952095583239961E-2</v>
      </c>
      <c r="Z27" s="18" t="s">
        <v>64</v>
      </c>
    </row>
    <row r="28" spans="1:26" ht="47.25" x14ac:dyDescent="0.25">
      <c r="A28" s="1" t="s">
        <v>74</v>
      </c>
      <c r="B28" s="16">
        <v>19</v>
      </c>
      <c r="C28" s="16" t="s">
        <v>102</v>
      </c>
      <c r="D28" s="17" t="s">
        <v>103</v>
      </c>
      <c r="E28" s="17"/>
      <c r="F28" s="16" t="s">
        <v>100</v>
      </c>
      <c r="G28" s="16">
        <v>2302</v>
      </c>
      <c r="H28" s="19" t="s">
        <v>104</v>
      </c>
      <c r="I28" s="21">
        <v>902483</v>
      </c>
      <c r="J28" s="21"/>
      <c r="K28" s="21"/>
      <c r="L28" s="21">
        <f>1047723-902483</f>
        <v>145240</v>
      </c>
      <c r="M28" s="21"/>
      <c r="N28" s="20">
        <f t="shared" si="0"/>
        <v>1047723</v>
      </c>
      <c r="O28" s="22">
        <v>902483</v>
      </c>
      <c r="P28" s="22"/>
      <c r="Q28" s="22"/>
      <c r="R28" s="22">
        <v>0</v>
      </c>
      <c r="S28" s="22"/>
      <c r="T28" s="22">
        <f t="shared" si="1"/>
        <v>902483</v>
      </c>
      <c r="U28" s="23"/>
      <c r="V28" s="23">
        <f t="shared" si="2"/>
        <v>145240</v>
      </c>
      <c r="W28" s="23">
        <f t="shared" si="3"/>
        <v>1047723</v>
      </c>
      <c r="X28" s="23">
        <f t="shared" si="4"/>
        <v>0</v>
      </c>
      <c r="Y28" s="24">
        <f t="shared" si="5"/>
        <v>1.2784128363435839E-2</v>
      </c>
      <c r="Z28" s="18" t="s">
        <v>64</v>
      </c>
    </row>
    <row r="29" spans="1:26" ht="47.25" x14ac:dyDescent="0.25">
      <c r="A29" s="1" t="s">
        <v>74</v>
      </c>
      <c r="B29" s="16">
        <v>20</v>
      </c>
      <c r="C29" s="16" t="s">
        <v>105</v>
      </c>
      <c r="D29" s="17" t="s">
        <v>106</v>
      </c>
      <c r="E29" s="17"/>
      <c r="F29" s="16" t="s">
        <v>100</v>
      </c>
      <c r="G29" s="16">
        <v>802</v>
      </c>
      <c r="H29" s="19" t="s">
        <v>107</v>
      </c>
      <c r="I29" s="21">
        <f>1640593-L29</f>
        <v>1505073</v>
      </c>
      <c r="J29" s="21"/>
      <c r="K29" s="21"/>
      <c r="L29" s="21">
        <v>135520</v>
      </c>
      <c r="M29" s="21"/>
      <c r="N29" s="20">
        <f t="shared" si="0"/>
        <v>1640593</v>
      </c>
      <c r="O29" s="22">
        <v>1076440</v>
      </c>
      <c r="P29" s="22"/>
      <c r="Q29" s="22"/>
      <c r="R29" s="22">
        <v>0</v>
      </c>
      <c r="S29" s="22"/>
      <c r="T29" s="22">
        <f t="shared" si="1"/>
        <v>1076440</v>
      </c>
      <c r="U29" s="23"/>
      <c r="V29" s="23">
        <f t="shared" si="2"/>
        <v>564153</v>
      </c>
      <c r="W29" s="23">
        <f t="shared" si="3"/>
        <v>1640593</v>
      </c>
      <c r="X29" s="23">
        <f t="shared" si="4"/>
        <v>0</v>
      </c>
      <c r="Y29" s="24">
        <f t="shared" si="5"/>
        <v>1.5248317292998179E-2</v>
      </c>
      <c r="Z29" s="18" t="s">
        <v>64</v>
      </c>
    </row>
    <row r="30" spans="1:26" x14ac:dyDescent="0.25">
      <c r="A30" s="1" t="s">
        <v>74</v>
      </c>
      <c r="B30" s="16">
        <v>21</v>
      </c>
      <c r="C30" s="16" t="s">
        <v>108</v>
      </c>
      <c r="D30" s="17" t="s">
        <v>109</v>
      </c>
      <c r="E30" s="17"/>
      <c r="F30" s="16" t="s">
        <v>35</v>
      </c>
      <c r="G30" s="16">
        <v>1201</v>
      </c>
      <c r="H30" s="19" t="s">
        <v>110</v>
      </c>
      <c r="I30" s="21">
        <v>1436875</v>
      </c>
      <c r="J30" s="21">
        <v>598074</v>
      </c>
      <c r="K30" s="21"/>
      <c r="L30" s="21"/>
      <c r="M30" s="21"/>
      <c r="N30" s="20">
        <f t="shared" si="0"/>
        <v>2034949</v>
      </c>
      <c r="O30" s="22">
        <v>1436875</v>
      </c>
      <c r="P30" s="22">
        <f>+J30/12%*8%</f>
        <v>398716</v>
      </c>
      <c r="Q30" s="22"/>
      <c r="R30" s="22"/>
      <c r="S30" s="22"/>
      <c r="T30" s="22">
        <f t="shared" si="1"/>
        <v>1835591</v>
      </c>
      <c r="U30" s="23"/>
      <c r="V30" s="23">
        <f t="shared" si="2"/>
        <v>199358</v>
      </c>
      <c r="W30" s="23">
        <f t="shared" si="3"/>
        <v>2034949</v>
      </c>
      <c r="X30" s="23">
        <f t="shared" si="4"/>
        <v>0</v>
      </c>
      <c r="Y30" s="24">
        <f t="shared" si="5"/>
        <v>2.6002075348530173E-2</v>
      </c>
      <c r="Z30" s="17" t="s">
        <v>47</v>
      </c>
    </row>
    <row r="31" spans="1:26" x14ac:dyDescent="0.25">
      <c r="A31" s="1" t="s">
        <v>74</v>
      </c>
      <c r="B31" s="16">
        <v>22</v>
      </c>
      <c r="C31" s="16" t="s">
        <v>111</v>
      </c>
      <c r="D31" s="17" t="s">
        <v>112</v>
      </c>
      <c r="E31" s="17"/>
      <c r="F31" s="16" t="s">
        <v>113</v>
      </c>
      <c r="G31" s="16">
        <v>210</v>
      </c>
      <c r="H31" s="19" t="s">
        <v>114</v>
      </c>
      <c r="I31" s="21">
        <v>194200</v>
      </c>
      <c r="J31" s="21">
        <f>315000-194200</f>
        <v>120800</v>
      </c>
      <c r="K31" s="21"/>
      <c r="L31" s="21"/>
      <c r="M31" s="21"/>
      <c r="N31" s="20">
        <f t="shared" si="0"/>
        <v>315000</v>
      </c>
      <c r="O31" s="22">
        <v>194200</v>
      </c>
      <c r="P31" s="22">
        <f>+J31/10%*8%</f>
        <v>96640</v>
      </c>
      <c r="Q31" s="22"/>
      <c r="R31" s="22"/>
      <c r="S31" s="22"/>
      <c r="T31" s="22">
        <f t="shared" si="1"/>
        <v>290840</v>
      </c>
      <c r="U31" s="23"/>
      <c r="V31" s="23">
        <f t="shared" si="2"/>
        <v>24160</v>
      </c>
      <c r="W31" s="23">
        <f t="shared" si="3"/>
        <v>315000</v>
      </c>
      <c r="X31" s="23">
        <f t="shared" si="4"/>
        <v>0</v>
      </c>
      <c r="Y31" s="24">
        <f t="shared" si="5"/>
        <v>4.1198957689193919E-3</v>
      </c>
      <c r="Z31" s="17" t="s">
        <v>47</v>
      </c>
    </row>
    <row r="32" spans="1:26" x14ac:dyDescent="0.25">
      <c r="A32" s="1" t="s">
        <v>74</v>
      </c>
      <c r="B32" s="16">
        <v>23</v>
      </c>
      <c r="C32" s="16" t="s">
        <v>115</v>
      </c>
      <c r="D32" s="17" t="s">
        <v>116</v>
      </c>
      <c r="E32" s="17"/>
      <c r="F32" s="16" t="s">
        <v>117</v>
      </c>
      <c r="G32" s="16">
        <v>305</v>
      </c>
      <c r="H32" s="19" t="s">
        <v>118</v>
      </c>
      <c r="I32" s="21">
        <v>275000</v>
      </c>
      <c r="J32" s="21">
        <f>614300-275000</f>
        <v>339300</v>
      </c>
      <c r="K32" s="21"/>
      <c r="L32" s="21"/>
      <c r="M32" s="21"/>
      <c r="N32" s="20">
        <f t="shared" si="0"/>
        <v>614300</v>
      </c>
      <c r="O32" s="22">
        <v>275000</v>
      </c>
      <c r="P32" s="22">
        <f>+J32/9%*8%</f>
        <v>301600</v>
      </c>
      <c r="Q32" s="22"/>
      <c r="R32" s="22"/>
      <c r="S32" s="22"/>
      <c r="T32" s="22">
        <f t="shared" si="1"/>
        <v>576600</v>
      </c>
      <c r="U32" s="23"/>
      <c r="V32" s="23">
        <f t="shared" si="2"/>
        <v>37700</v>
      </c>
      <c r="W32" s="23">
        <f t="shared" si="3"/>
        <v>614300</v>
      </c>
      <c r="X32" s="23">
        <f t="shared" si="4"/>
        <v>0</v>
      </c>
      <c r="Y32" s="24">
        <f t="shared" si="5"/>
        <v>8.1678307672910233E-3</v>
      </c>
      <c r="Z32" s="17" t="s">
        <v>47</v>
      </c>
    </row>
    <row r="33" spans="1:26" ht="47.25" x14ac:dyDescent="0.25">
      <c r="A33" s="1" t="s">
        <v>74</v>
      </c>
      <c r="B33" s="16">
        <v>24</v>
      </c>
      <c r="C33" s="16" t="s">
        <v>119</v>
      </c>
      <c r="D33" s="17" t="s">
        <v>120</v>
      </c>
      <c r="E33" s="17"/>
      <c r="F33" s="16" t="s">
        <v>100</v>
      </c>
      <c r="G33" s="16">
        <v>1408</v>
      </c>
      <c r="H33" s="19" t="s">
        <v>121</v>
      </c>
      <c r="I33" s="21">
        <v>1342386</v>
      </c>
      <c r="J33" s="21">
        <v>566707</v>
      </c>
      <c r="K33" s="21"/>
      <c r="L33" s="21"/>
      <c r="M33" s="21"/>
      <c r="N33" s="20">
        <f t="shared" si="0"/>
        <v>1909093</v>
      </c>
      <c r="O33" s="22">
        <v>1342386</v>
      </c>
      <c r="P33" s="22">
        <f>+J33</f>
        <v>566707</v>
      </c>
      <c r="Q33" s="22"/>
      <c r="R33" s="22"/>
      <c r="S33" s="22"/>
      <c r="T33" s="22">
        <f t="shared" si="1"/>
        <v>1909093</v>
      </c>
      <c r="U33" s="23"/>
      <c r="V33" s="23">
        <f t="shared" si="2"/>
        <v>0</v>
      </c>
      <c r="W33" s="23">
        <f t="shared" si="3"/>
        <v>1909093</v>
      </c>
      <c r="X33" s="23">
        <f t="shared" si="4"/>
        <v>0</v>
      </c>
      <c r="Y33" s="24">
        <f t="shared" si="5"/>
        <v>2.7043268371522586E-2</v>
      </c>
      <c r="Z33" s="18" t="s">
        <v>64</v>
      </c>
    </row>
    <row r="34" spans="1:26" x14ac:dyDescent="0.25">
      <c r="A34" s="1" t="s">
        <v>74</v>
      </c>
      <c r="B34" s="16">
        <v>25</v>
      </c>
      <c r="C34" s="16" t="s">
        <v>122</v>
      </c>
      <c r="D34" s="17" t="s">
        <v>123</v>
      </c>
      <c r="E34" s="17"/>
      <c r="F34" s="16" t="s">
        <v>78</v>
      </c>
      <c r="G34" s="16">
        <v>118</v>
      </c>
      <c r="H34" s="19" t="s">
        <v>124</v>
      </c>
      <c r="I34" s="21">
        <v>671063</v>
      </c>
      <c r="J34" s="21">
        <v>410746</v>
      </c>
      <c r="K34" s="21"/>
      <c r="L34" s="21"/>
      <c r="M34" s="21"/>
      <c r="N34" s="20">
        <f t="shared" si="0"/>
        <v>1081809</v>
      </c>
      <c r="O34" s="22">
        <v>671063</v>
      </c>
      <c r="P34" s="22">
        <f>+J34/9%*8%</f>
        <v>365107.55555555562</v>
      </c>
      <c r="Q34" s="22"/>
      <c r="R34" s="22"/>
      <c r="S34" s="22"/>
      <c r="T34" s="22">
        <f t="shared" si="1"/>
        <v>1036170.5555555556</v>
      </c>
      <c r="U34" s="23"/>
      <c r="V34" s="23">
        <f t="shared" si="2"/>
        <v>45638.44444444438</v>
      </c>
      <c r="W34" s="23">
        <f t="shared" si="3"/>
        <v>1081809</v>
      </c>
      <c r="X34" s="23">
        <f t="shared" si="4"/>
        <v>0</v>
      </c>
      <c r="Y34" s="24">
        <f t="shared" si="5"/>
        <v>1.4677880235566597E-2</v>
      </c>
      <c r="Z34" s="17" t="s">
        <v>42</v>
      </c>
    </row>
    <row r="35" spans="1:26" x14ac:dyDescent="0.25">
      <c r="A35" s="1" t="s">
        <v>74</v>
      </c>
      <c r="B35" s="16">
        <v>26</v>
      </c>
      <c r="C35" s="16" t="s">
        <v>125</v>
      </c>
      <c r="D35" s="17" t="s">
        <v>126</v>
      </c>
      <c r="E35" s="17"/>
      <c r="F35" s="16" t="s">
        <v>127</v>
      </c>
      <c r="G35" s="16">
        <v>203</v>
      </c>
      <c r="H35" s="19" t="s">
        <v>128</v>
      </c>
      <c r="I35" s="21">
        <f>1106880-L35</f>
        <v>1044060</v>
      </c>
      <c r="J35" s="21"/>
      <c r="K35" s="21"/>
      <c r="L35" s="21">
        <f>50400+11300+1120</f>
        <v>62820</v>
      </c>
      <c r="M35" s="21"/>
      <c r="N35" s="20">
        <f t="shared" si="0"/>
        <v>1106880</v>
      </c>
      <c r="O35" s="22">
        <v>856390</v>
      </c>
      <c r="P35" s="22"/>
      <c r="Q35" s="22"/>
      <c r="R35" s="22">
        <v>0</v>
      </c>
      <c r="S35" s="22"/>
      <c r="T35" s="22">
        <f t="shared" si="1"/>
        <v>856390</v>
      </c>
      <c r="U35" s="23"/>
      <c r="V35" s="23">
        <f t="shared" si="2"/>
        <v>250490</v>
      </c>
      <c r="W35" s="23">
        <f t="shared" si="3"/>
        <v>1106880</v>
      </c>
      <c r="X35" s="23">
        <f t="shared" si="4"/>
        <v>0</v>
      </c>
      <c r="Y35" s="24">
        <f t="shared" si="5"/>
        <v>1.2131197694763025E-2</v>
      </c>
      <c r="Z35" s="17" t="s">
        <v>42</v>
      </c>
    </row>
    <row r="36" spans="1:26" x14ac:dyDescent="0.25">
      <c r="A36" s="1" t="s">
        <v>74</v>
      </c>
      <c r="B36" s="16">
        <v>27</v>
      </c>
      <c r="C36" s="16" t="s">
        <v>129</v>
      </c>
      <c r="D36" s="17" t="s">
        <v>130</v>
      </c>
      <c r="E36" s="17"/>
      <c r="F36" s="16" t="s">
        <v>35</v>
      </c>
      <c r="G36" s="16">
        <v>2206</v>
      </c>
      <c r="H36" s="19" t="s">
        <v>131</v>
      </c>
      <c r="I36" s="21">
        <v>190000</v>
      </c>
      <c r="J36" s="21">
        <v>62469</v>
      </c>
      <c r="K36" s="21"/>
      <c r="L36" s="21"/>
      <c r="M36" s="21"/>
      <c r="N36" s="20">
        <f t="shared" si="0"/>
        <v>252469</v>
      </c>
      <c r="O36" s="22">
        <v>166000</v>
      </c>
      <c r="P36" s="22">
        <v>62469</v>
      </c>
      <c r="Q36" s="22"/>
      <c r="R36" s="22"/>
      <c r="S36" s="22"/>
      <c r="T36" s="22">
        <f t="shared" si="1"/>
        <v>228469</v>
      </c>
      <c r="U36" s="23"/>
      <c r="V36" s="23">
        <f t="shared" si="2"/>
        <v>24000</v>
      </c>
      <c r="W36" s="23">
        <f t="shared" si="3"/>
        <v>252469</v>
      </c>
      <c r="X36" s="23">
        <f t="shared" si="4"/>
        <v>0</v>
      </c>
      <c r="Y36" s="24">
        <f t="shared" si="5"/>
        <v>3.2363789933614515E-3</v>
      </c>
      <c r="Z36" s="17" t="s">
        <v>47</v>
      </c>
    </row>
    <row r="37" spans="1:26" x14ac:dyDescent="0.25">
      <c r="A37" s="1" t="s">
        <v>74</v>
      </c>
      <c r="B37" s="16">
        <v>28</v>
      </c>
      <c r="C37" s="16" t="s">
        <v>132</v>
      </c>
      <c r="D37" s="17" t="s">
        <v>133</v>
      </c>
      <c r="E37" s="17"/>
      <c r="F37" s="16" t="s">
        <v>134</v>
      </c>
      <c r="G37" s="16">
        <v>110</v>
      </c>
      <c r="H37" s="19" t="s">
        <v>135</v>
      </c>
      <c r="I37" s="21">
        <f>601988-L37</f>
        <v>569308</v>
      </c>
      <c r="J37" s="21"/>
      <c r="K37" s="21"/>
      <c r="L37" s="21">
        <f>24600+7000+1080</f>
        <v>32680</v>
      </c>
      <c r="M37" s="21"/>
      <c r="N37" s="20">
        <f t="shared" si="0"/>
        <v>601988</v>
      </c>
      <c r="O37" s="22">
        <v>569298</v>
      </c>
      <c r="P37" s="22"/>
      <c r="Q37" s="22"/>
      <c r="R37" s="22">
        <v>0</v>
      </c>
      <c r="S37" s="22"/>
      <c r="T37" s="22">
        <f t="shared" si="1"/>
        <v>569298</v>
      </c>
      <c r="U37" s="23"/>
      <c r="V37" s="23">
        <f t="shared" si="2"/>
        <v>32690</v>
      </c>
      <c r="W37" s="23">
        <f t="shared" si="3"/>
        <v>601988</v>
      </c>
      <c r="X37" s="23">
        <f t="shared" si="4"/>
        <v>0</v>
      </c>
      <c r="Y37" s="24">
        <f t="shared" si="5"/>
        <v>8.064394242381626E-3</v>
      </c>
      <c r="Z37" s="17"/>
    </row>
    <row r="38" spans="1:26" ht="47.25" x14ac:dyDescent="0.25">
      <c r="A38" s="1" t="s">
        <v>74</v>
      </c>
      <c r="B38" s="16">
        <v>29</v>
      </c>
      <c r="C38" s="16" t="s">
        <v>136</v>
      </c>
      <c r="D38" s="17" t="s">
        <v>137</v>
      </c>
      <c r="E38" s="17"/>
      <c r="F38" s="16" t="s">
        <v>100</v>
      </c>
      <c r="G38" s="16">
        <v>1401</v>
      </c>
      <c r="H38" s="19" t="s">
        <v>138</v>
      </c>
      <c r="I38" s="21">
        <f>1342386-86700</f>
        <v>1255686</v>
      </c>
      <c r="J38" s="21">
        <v>327211</v>
      </c>
      <c r="K38" s="21"/>
      <c r="L38" s="21">
        <v>86700</v>
      </c>
      <c r="M38" s="21"/>
      <c r="N38" s="20">
        <f t="shared" si="0"/>
        <v>1669597</v>
      </c>
      <c r="O38" s="22">
        <v>786700</v>
      </c>
      <c r="P38" s="22">
        <v>327211</v>
      </c>
      <c r="Q38" s="22"/>
      <c r="R38" s="22"/>
      <c r="S38" s="22"/>
      <c r="T38" s="22">
        <f t="shared" si="1"/>
        <v>1113911</v>
      </c>
      <c r="U38" s="23"/>
      <c r="V38" s="23">
        <f t="shared" si="2"/>
        <v>555686</v>
      </c>
      <c r="W38" s="23">
        <f t="shared" si="3"/>
        <v>1669597</v>
      </c>
      <c r="X38" s="23">
        <f t="shared" si="4"/>
        <v>0</v>
      </c>
      <c r="Y38" s="24">
        <f t="shared" si="5"/>
        <v>1.5779112968823988E-2</v>
      </c>
      <c r="Z38" s="18" t="s">
        <v>64</v>
      </c>
    </row>
    <row r="39" spans="1:26" x14ac:dyDescent="0.25">
      <c r="A39" s="1" t="s">
        <v>25</v>
      </c>
      <c r="B39" s="16">
        <v>30</v>
      </c>
      <c r="C39" s="16" t="s">
        <v>139</v>
      </c>
      <c r="D39" s="17" t="s">
        <v>140</v>
      </c>
      <c r="E39" s="17"/>
      <c r="F39" s="16"/>
      <c r="G39" s="16"/>
      <c r="H39" s="19" t="s">
        <v>141</v>
      </c>
      <c r="I39" s="21">
        <v>57996000</v>
      </c>
      <c r="J39" s="21">
        <v>117630180</v>
      </c>
      <c r="K39" s="21"/>
      <c r="L39" s="21"/>
      <c r="M39" s="21"/>
      <c r="N39" s="20">
        <f t="shared" si="0"/>
        <v>175626180</v>
      </c>
      <c r="O39" s="22">
        <f>+I39</f>
        <v>57996000</v>
      </c>
      <c r="P39" s="22">
        <f>116969185/26*8</f>
        <v>35990518.461538464</v>
      </c>
      <c r="Q39" s="22"/>
      <c r="R39" s="22"/>
      <c r="S39" s="22"/>
      <c r="T39" s="22">
        <f t="shared" si="1"/>
        <v>93986518.461538464</v>
      </c>
      <c r="U39" s="23">
        <f>+J39-P39-660995</f>
        <v>80978666.538461536</v>
      </c>
      <c r="V39" s="23">
        <v>660995</v>
      </c>
      <c r="W39" s="23">
        <f t="shared" si="3"/>
        <v>175626180</v>
      </c>
      <c r="X39" s="23">
        <f t="shared" si="4"/>
        <v>0</v>
      </c>
      <c r="Y39" s="24">
        <f t="shared" si="5"/>
        <v>1.3313665924396805</v>
      </c>
      <c r="Z39" s="17" t="s">
        <v>42</v>
      </c>
    </row>
    <row r="40" spans="1:26" ht="47.25" x14ac:dyDescent="0.25">
      <c r="A40" s="1" t="s">
        <v>25</v>
      </c>
      <c r="B40" s="16">
        <v>31</v>
      </c>
      <c r="C40" s="16" t="s">
        <v>142</v>
      </c>
      <c r="D40" s="17" t="s">
        <v>143</v>
      </c>
      <c r="E40" s="17"/>
      <c r="F40" s="16"/>
      <c r="G40" s="16"/>
      <c r="H40" s="19" t="s">
        <v>144</v>
      </c>
      <c r="I40" s="26">
        <v>1487474</v>
      </c>
      <c r="J40" s="26">
        <v>0</v>
      </c>
      <c r="K40" s="21">
        <v>0</v>
      </c>
      <c r="L40" s="21">
        <v>0</v>
      </c>
      <c r="M40" s="21">
        <v>0</v>
      </c>
      <c r="N40" s="20">
        <f t="shared" si="0"/>
        <v>1487474</v>
      </c>
      <c r="O40" s="27">
        <v>1487474</v>
      </c>
      <c r="P40" s="27"/>
      <c r="Q40" s="27">
        <v>0</v>
      </c>
      <c r="R40" s="27">
        <v>0</v>
      </c>
      <c r="S40" s="27">
        <v>0</v>
      </c>
      <c r="T40" s="22">
        <f t="shared" si="1"/>
        <v>1487474</v>
      </c>
      <c r="U40" s="23"/>
      <c r="V40" s="23">
        <f t="shared" si="2"/>
        <v>0</v>
      </c>
      <c r="W40" s="23">
        <f t="shared" si="3"/>
        <v>1487474</v>
      </c>
      <c r="X40" s="23">
        <f t="shared" si="4"/>
        <v>0</v>
      </c>
      <c r="Y40" s="24">
        <f t="shared" si="5"/>
        <v>2.1070821891684789E-2</v>
      </c>
      <c r="Z40" s="18" t="s">
        <v>64</v>
      </c>
    </row>
    <row r="41" spans="1:26" x14ac:dyDescent="0.25">
      <c r="A41" s="1" t="s">
        <v>25</v>
      </c>
      <c r="B41" s="16">
        <v>32</v>
      </c>
      <c r="C41" s="16" t="s">
        <v>145</v>
      </c>
      <c r="D41" s="17" t="s">
        <v>146</v>
      </c>
      <c r="E41" s="17"/>
      <c r="F41" s="16"/>
      <c r="G41" s="16"/>
      <c r="H41" s="19" t="s">
        <v>147</v>
      </c>
      <c r="I41" s="26">
        <v>290000</v>
      </c>
      <c r="J41" s="26">
        <v>0</v>
      </c>
      <c r="K41" s="21">
        <v>0</v>
      </c>
      <c r="L41" s="21">
        <v>0</v>
      </c>
      <c r="M41" s="21">
        <v>0</v>
      </c>
      <c r="N41" s="20">
        <f t="shared" si="0"/>
        <v>290000</v>
      </c>
      <c r="O41" s="27">
        <f>51000+79000+79000</f>
        <v>209000</v>
      </c>
      <c r="P41" s="27"/>
      <c r="Q41" s="27">
        <v>0</v>
      </c>
      <c r="R41" s="27">
        <v>0</v>
      </c>
      <c r="S41" s="27">
        <v>0</v>
      </c>
      <c r="T41" s="22">
        <f t="shared" si="1"/>
        <v>209000</v>
      </c>
      <c r="U41" s="23"/>
      <c r="V41" s="23">
        <f t="shared" si="2"/>
        <v>81000</v>
      </c>
      <c r="W41" s="23">
        <f t="shared" si="3"/>
        <v>290000</v>
      </c>
      <c r="X41" s="23">
        <f t="shared" si="4"/>
        <v>0</v>
      </c>
      <c r="Y41" s="24">
        <f t="shared" si="5"/>
        <v>2.9605907567877626E-3</v>
      </c>
      <c r="Z41" s="17"/>
    </row>
    <row r="42" spans="1:26" ht="47.25" x14ac:dyDescent="0.25">
      <c r="A42" s="1" t="s">
        <v>25</v>
      </c>
      <c r="B42" s="16">
        <v>33</v>
      </c>
      <c r="C42" s="16" t="s">
        <v>148</v>
      </c>
      <c r="D42" s="17" t="s">
        <v>149</v>
      </c>
      <c r="E42" s="17"/>
      <c r="F42" s="16" t="s">
        <v>150</v>
      </c>
      <c r="G42" s="16" t="s">
        <v>151</v>
      </c>
      <c r="H42" s="19" t="s">
        <v>152</v>
      </c>
      <c r="I42" s="26">
        <v>4908750</v>
      </c>
      <c r="J42" s="26">
        <v>9843052</v>
      </c>
      <c r="K42" s="21">
        <v>0</v>
      </c>
      <c r="L42" s="21">
        <v>231100</v>
      </c>
      <c r="M42" s="21">
        <v>0</v>
      </c>
      <c r="N42" s="20">
        <f t="shared" si="0"/>
        <v>14982902</v>
      </c>
      <c r="O42" s="27">
        <v>4908750</v>
      </c>
      <c r="P42" s="27">
        <f>+J42/26*8</f>
        <v>3028631.3846153845</v>
      </c>
      <c r="Q42" s="27"/>
      <c r="R42" s="27">
        <v>0</v>
      </c>
      <c r="S42" s="27">
        <v>0</v>
      </c>
      <c r="T42" s="22">
        <f t="shared" si="1"/>
        <v>7937381.384615384</v>
      </c>
      <c r="U42" s="23">
        <f>+J42-P42</f>
        <v>6814420.615384616</v>
      </c>
      <c r="V42" s="23">
        <v>231100</v>
      </c>
      <c r="W42" s="23">
        <f t="shared" si="3"/>
        <v>14982902</v>
      </c>
      <c r="X42" s="23">
        <f t="shared" si="4"/>
        <v>0</v>
      </c>
      <c r="Y42" s="24">
        <f t="shared" si="5"/>
        <v>0.1124370237339309</v>
      </c>
      <c r="Z42" s="18" t="s">
        <v>64</v>
      </c>
    </row>
    <row r="43" spans="1:26" ht="47.25" x14ac:dyDescent="0.25">
      <c r="A43" s="1" t="s">
        <v>25</v>
      </c>
      <c r="B43" s="16">
        <v>34</v>
      </c>
      <c r="C43" s="16" t="s">
        <v>153</v>
      </c>
      <c r="D43" s="17" t="s">
        <v>154</v>
      </c>
      <c r="E43" s="17"/>
      <c r="F43" s="16" t="s">
        <v>155</v>
      </c>
      <c r="G43" s="16" t="s">
        <v>156</v>
      </c>
      <c r="H43" s="19" t="s">
        <v>152</v>
      </c>
      <c r="I43" s="26">
        <v>3466850</v>
      </c>
      <c r="J43" s="26">
        <v>6951747</v>
      </c>
      <c r="K43" s="21">
        <v>0</v>
      </c>
      <c r="L43" s="21">
        <v>157050</v>
      </c>
      <c r="M43" s="21">
        <v>0</v>
      </c>
      <c r="N43" s="20">
        <f t="shared" si="0"/>
        <v>10575647</v>
      </c>
      <c r="O43" s="27">
        <v>3466850</v>
      </c>
      <c r="P43" s="27">
        <f>+J43/26*8</f>
        <v>2138999.076923077</v>
      </c>
      <c r="Q43" s="27">
        <v>0</v>
      </c>
      <c r="R43" s="27">
        <v>0</v>
      </c>
      <c r="S43" s="27">
        <v>0</v>
      </c>
      <c r="T43" s="22">
        <f t="shared" si="1"/>
        <v>5605849.076923077</v>
      </c>
      <c r="U43" s="23">
        <f>+J43-P43</f>
        <v>4812747.923076923</v>
      </c>
      <c r="V43" s="23">
        <v>157050</v>
      </c>
      <c r="W43" s="23">
        <f t="shared" si="3"/>
        <v>10575647</v>
      </c>
      <c r="X43" s="23">
        <f t="shared" si="4"/>
        <v>0</v>
      </c>
      <c r="Y43" s="24">
        <f t="shared" si="5"/>
        <v>7.9409688809022369E-2</v>
      </c>
      <c r="Z43" s="18" t="s">
        <v>64</v>
      </c>
    </row>
    <row r="44" spans="1:26" x14ac:dyDescent="0.25">
      <c r="A44" s="1" t="s">
        <v>25</v>
      </c>
      <c r="B44" s="16">
        <v>35</v>
      </c>
      <c r="C44" s="16" t="s">
        <v>157</v>
      </c>
      <c r="D44" s="17" t="s">
        <v>158</v>
      </c>
      <c r="E44" s="17" t="s">
        <v>34</v>
      </c>
      <c r="F44" s="16" t="s">
        <v>100</v>
      </c>
      <c r="G44" s="16">
        <v>1903</v>
      </c>
      <c r="H44" s="19" t="s">
        <v>159</v>
      </c>
      <c r="I44" s="26">
        <v>1323892</v>
      </c>
      <c r="J44" s="26">
        <v>0</v>
      </c>
      <c r="K44" s="21">
        <v>61702</v>
      </c>
      <c r="L44" s="21">
        <f>79500+15540</f>
        <v>95040</v>
      </c>
      <c r="M44" s="21">
        <v>0</v>
      </c>
      <c r="N44" s="20">
        <f t="shared" si="0"/>
        <v>1480634</v>
      </c>
      <c r="O44" s="27">
        <v>1323892</v>
      </c>
      <c r="P44" s="27">
        <v>0</v>
      </c>
      <c r="Q44" s="27">
        <v>0</v>
      </c>
      <c r="R44" s="27">
        <v>0</v>
      </c>
      <c r="S44" s="27">
        <v>0</v>
      </c>
      <c r="T44" s="22">
        <f t="shared" si="1"/>
        <v>1323892</v>
      </c>
      <c r="U44" s="23"/>
      <c r="V44" s="23">
        <f t="shared" si="2"/>
        <v>156742</v>
      </c>
      <c r="W44" s="23">
        <f t="shared" si="3"/>
        <v>1480634</v>
      </c>
      <c r="X44" s="23">
        <f t="shared" si="4"/>
        <v>0</v>
      </c>
      <c r="Y44" s="24">
        <f t="shared" si="5"/>
        <v>1.8753600087010835E-2</v>
      </c>
      <c r="Z44" s="17" t="s">
        <v>47</v>
      </c>
    </row>
    <row r="45" spans="1:26" x14ac:dyDescent="0.25">
      <c r="A45" s="1" t="s">
        <v>25</v>
      </c>
      <c r="B45" s="16">
        <v>36</v>
      </c>
      <c r="C45" s="16" t="s">
        <v>160</v>
      </c>
      <c r="D45" s="17" t="s">
        <v>161</v>
      </c>
      <c r="E45" s="17" t="s">
        <v>162</v>
      </c>
      <c r="F45" s="16" t="s">
        <v>163</v>
      </c>
      <c r="G45" s="16" t="s">
        <v>164</v>
      </c>
      <c r="H45" s="19" t="s">
        <v>165</v>
      </c>
      <c r="I45" s="26">
        <v>4145196</v>
      </c>
      <c r="J45" s="26">
        <v>8433032</v>
      </c>
      <c r="K45" s="21">
        <v>0</v>
      </c>
      <c r="L45" s="21">
        <v>0</v>
      </c>
      <c r="M45" s="21">
        <v>0</v>
      </c>
      <c r="N45" s="20">
        <f t="shared" si="0"/>
        <v>12578228</v>
      </c>
      <c r="O45" s="27">
        <f>1386316+1379440+1379440</f>
        <v>4145196</v>
      </c>
      <c r="P45" s="27"/>
      <c r="Q45" s="27">
        <v>0</v>
      </c>
      <c r="R45" s="27">
        <v>0</v>
      </c>
      <c r="S45" s="27">
        <v>0</v>
      </c>
      <c r="T45" s="22">
        <f t="shared" si="1"/>
        <v>4145196</v>
      </c>
      <c r="U45" s="23">
        <f>+J45</f>
        <v>8433032</v>
      </c>
      <c r="V45" s="23">
        <f t="shared" si="2"/>
        <v>0</v>
      </c>
      <c r="W45" s="23">
        <f t="shared" si="3"/>
        <v>12578228</v>
      </c>
      <c r="X45" s="23">
        <f t="shared" si="4"/>
        <v>0</v>
      </c>
      <c r="Y45" s="24">
        <f t="shared" si="5"/>
        <v>5.8718798864467014E-2</v>
      </c>
      <c r="Z45" s="17" t="s">
        <v>42</v>
      </c>
    </row>
    <row r="46" spans="1:26" ht="47.25" x14ac:dyDescent="0.25">
      <c r="A46" s="1" t="s">
        <v>25</v>
      </c>
      <c r="B46" s="16">
        <v>37</v>
      </c>
      <c r="C46" s="16" t="s">
        <v>166</v>
      </c>
      <c r="D46" s="17" t="s">
        <v>167</v>
      </c>
      <c r="E46" s="17"/>
      <c r="F46" s="16" t="s">
        <v>168</v>
      </c>
      <c r="G46" s="16" t="s">
        <v>169</v>
      </c>
      <c r="H46" s="19" t="s">
        <v>170</v>
      </c>
      <c r="I46" s="26">
        <f>1330962+1401399</f>
        <v>2732361</v>
      </c>
      <c r="J46" s="26"/>
      <c r="K46" s="21">
        <v>0</v>
      </c>
      <c r="L46" s="21">
        <v>0</v>
      </c>
      <c r="M46" s="21">
        <v>0</v>
      </c>
      <c r="N46" s="20">
        <f t="shared" si="0"/>
        <v>2732361</v>
      </c>
      <c r="O46" s="27">
        <f>100000+100000+100000+176946+123913+122543+100000+60000+3400+176946+122543+122543+68133+1256594</f>
        <v>2633561</v>
      </c>
      <c r="P46" s="27"/>
      <c r="Q46" s="27">
        <v>0</v>
      </c>
      <c r="R46" s="27">
        <v>0</v>
      </c>
      <c r="S46" s="27">
        <v>0</v>
      </c>
      <c r="T46" s="22">
        <f t="shared" si="1"/>
        <v>2633561</v>
      </c>
      <c r="U46" s="23"/>
      <c r="V46" s="23">
        <f t="shared" si="2"/>
        <v>98800</v>
      </c>
      <c r="W46" s="23">
        <f t="shared" si="3"/>
        <v>2732361</v>
      </c>
      <c r="X46" s="23">
        <f t="shared" si="4"/>
        <v>0</v>
      </c>
      <c r="Y46" s="24">
        <f t="shared" si="5"/>
        <v>3.730572418199396E-2</v>
      </c>
      <c r="Z46" s="18" t="s">
        <v>64</v>
      </c>
    </row>
    <row r="47" spans="1:26" ht="47.25" x14ac:dyDescent="0.25">
      <c r="A47" s="1" t="s">
        <v>25</v>
      </c>
      <c r="B47" s="16">
        <v>38</v>
      </c>
      <c r="C47" s="16" t="s">
        <v>171</v>
      </c>
      <c r="D47" s="17" t="s">
        <v>172</v>
      </c>
      <c r="E47" s="17"/>
      <c r="F47" s="16" t="s">
        <v>173</v>
      </c>
      <c r="G47" s="16">
        <v>405</v>
      </c>
      <c r="H47" s="19" t="s">
        <v>174</v>
      </c>
      <c r="I47" s="26">
        <v>1101015</v>
      </c>
      <c r="J47" s="26">
        <v>0</v>
      </c>
      <c r="K47" s="21">
        <v>0</v>
      </c>
      <c r="L47" s="21">
        <v>0</v>
      </c>
      <c r="M47" s="21">
        <v>0</v>
      </c>
      <c r="N47" s="20">
        <f t="shared" si="0"/>
        <v>1101015</v>
      </c>
      <c r="O47" s="27">
        <v>1101015</v>
      </c>
      <c r="P47" s="27"/>
      <c r="Q47" s="27">
        <v>0</v>
      </c>
      <c r="R47" s="27">
        <v>0</v>
      </c>
      <c r="S47" s="27">
        <v>0</v>
      </c>
      <c r="T47" s="22">
        <f t="shared" si="1"/>
        <v>1101015</v>
      </c>
      <c r="U47" s="23"/>
      <c r="V47" s="23">
        <f t="shared" si="2"/>
        <v>0</v>
      </c>
      <c r="W47" s="23">
        <f t="shared" si="3"/>
        <v>1101015</v>
      </c>
      <c r="X47" s="23">
        <f t="shared" si="4"/>
        <v>0</v>
      </c>
      <c r="Y47" s="24">
        <f t="shared" si="5"/>
        <v>1.5596434603275974E-2</v>
      </c>
      <c r="Z47" s="18" t="s">
        <v>64</v>
      </c>
    </row>
    <row r="48" spans="1:26" x14ac:dyDescent="0.25">
      <c r="A48" s="1" t="s">
        <v>25</v>
      </c>
      <c r="B48" s="16">
        <v>39</v>
      </c>
      <c r="C48" s="16" t="s">
        <v>175</v>
      </c>
      <c r="D48" s="17" t="s">
        <v>176</v>
      </c>
      <c r="E48" s="17"/>
      <c r="F48" s="16" t="s">
        <v>78</v>
      </c>
      <c r="G48" s="16">
        <v>303</v>
      </c>
      <c r="H48" s="19" t="s">
        <v>177</v>
      </c>
      <c r="I48" s="26">
        <v>767656</v>
      </c>
      <c r="J48" s="26">
        <f>238333+696418</f>
        <v>934751</v>
      </c>
      <c r="K48" s="21">
        <v>0</v>
      </c>
      <c r="L48" s="21">
        <v>0</v>
      </c>
      <c r="M48" s="21">
        <v>0</v>
      </c>
      <c r="N48" s="20">
        <f t="shared" si="0"/>
        <v>1702407</v>
      </c>
      <c r="O48" s="27">
        <f>20000+156610+591046</f>
        <v>767656</v>
      </c>
      <c r="P48" s="27">
        <f>+J48/18%*8%</f>
        <v>415444.88888888888</v>
      </c>
      <c r="Q48" s="27">
        <v>0</v>
      </c>
      <c r="R48" s="27">
        <v>0</v>
      </c>
      <c r="S48" s="27">
        <v>0</v>
      </c>
      <c r="T48" s="22">
        <f t="shared" si="1"/>
        <v>1183100.888888889</v>
      </c>
      <c r="U48" s="23"/>
      <c r="V48" s="23">
        <f t="shared" si="2"/>
        <v>519306.11111111112</v>
      </c>
      <c r="W48" s="23">
        <f t="shared" si="3"/>
        <v>1702407</v>
      </c>
      <c r="X48" s="23">
        <f t="shared" si="4"/>
        <v>0</v>
      </c>
      <c r="Y48" s="24">
        <f t="shared" si="5"/>
        <v>1.6759222755941772E-2</v>
      </c>
      <c r="Z48" s="17" t="s">
        <v>47</v>
      </c>
    </row>
    <row r="49" spans="1:26" x14ac:dyDescent="0.25">
      <c r="A49" s="1" t="s">
        <v>25</v>
      </c>
      <c r="B49" s="16">
        <v>40</v>
      </c>
      <c r="C49" s="16" t="s">
        <v>178</v>
      </c>
      <c r="D49" s="17" t="s">
        <v>176</v>
      </c>
      <c r="E49" s="17"/>
      <c r="F49" s="16" t="s">
        <v>78</v>
      </c>
      <c r="G49" s="16">
        <v>304</v>
      </c>
      <c r="H49" s="19" t="s">
        <v>177</v>
      </c>
      <c r="I49" s="26">
        <v>767656</v>
      </c>
      <c r="J49" s="26">
        <f>239075+696418</f>
        <v>935493</v>
      </c>
      <c r="K49" s="21">
        <v>0</v>
      </c>
      <c r="L49" s="21">
        <v>0</v>
      </c>
      <c r="M49" s="21">
        <v>0</v>
      </c>
      <c r="N49" s="20">
        <f t="shared" si="0"/>
        <v>1703149</v>
      </c>
      <c r="O49" s="27">
        <f>156610+591046+20000</f>
        <v>767656</v>
      </c>
      <c r="P49" s="27">
        <f>+J49/18%*8%</f>
        <v>415774.66666666674</v>
      </c>
      <c r="Q49" s="27">
        <v>0</v>
      </c>
      <c r="R49" s="27">
        <v>0</v>
      </c>
      <c r="S49" s="27">
        <v>0</v>
      </c>
      <c r="T49" s="22">
        <f t="shared" si="1"/>
        <v>1183430.6666666667</v>
      </c>
      <c r="U49" s="23"/>
      <c r="V49" s="23">
        <f t="shared" si="2"/>
        <v>519718.33333333326</v>
      </c>
      <c r="W49" s="23">
        <f t="shared" si="3"/>
        <v>1703149</v>
      </c>
      <c r="X49" s="23">
        <f t="shared" si="4"/>
        <v>0</v>
      </c>
      <c r="Y49" s="24">
        <f t="shared" si="5"/>
        <v>1.676389422503595E-2</v>
      </c>
      <c r="Z49" s="17" t="s">
        <v>47</v>
      </c>
    </row>
    <row r="50" spans="1:26" ht="47.25" x14ac:dyDescent="0.25">
      <c r="A50" s="1" t="s">
        <v>25</v>
      </c>
      <c r="B50" s="16">
        <v>41</v>
      </c>
      <c r="C50" s="16" t="s">
        <v>179</v>
      </c>
      <c r="D50" s="17" t="s">
        <v>180</v>
      </c>
      <c r="E50" s="17"/>
      <c r="F50" s="16" t="s">
        <v>181</v>
      </c>
      <c r="G50" s="16" t="s">
        <v>182</v>
      </c>
      <c r="H50" s="19" t="s">
        <v>152</v>
      </c>
      <c r="I50" s="26">
        <v>3417400</v>
      </c>
      <c r="J50" s="26">
        <v>6852589</v>
      </c>
      <c r="K50" s="21">
        <v>0</v>
      </c>
      <c r="L50" s="21">
        <v>157050</v>
      </c>
      <c r="M50" s="21">
        <v>0</v>
      </c>
      <c r="N50" s="20">
        <f t="shared" si="0"/>
        <v>10427039</v>
      </c>
      <c r="O50" s="27">
        <v>3417400</v>
      </c>
      <c r="P50" s="27">
        <f>+J50/26*8</f>
        <v>2108488.923076923</v>
      </c>
      <c r="Q50" s="27">
        <v>0</v>
      </c>
      <c r="R50" s="27">
        <v>0</v>
      </c>
      <c r="S50" s="27">
        <v>0</v>
      </c>
      <c r="T50" s="22">
        <f t="shared" si="1"/>
        <v>5525888.923076923</v>
      </c>
      <c r="U50" s="23">
        <f>+J50-P50</f>
        <v>4744100.076923077</v>
      </c>
      <c r="V50" s="23">
        <v>157050</v>
      </c>
      <c r="W50" s="23">
        <f t="shared" si="3"/>
        <v>10427039</v>
      </c>
      <c r="X50" s="23">
        <f t="shared" si="4"/>
        <v>0</v>
      </c>
      <c r="Y50" s="24">
        <f t="shared" si="5"/>
        <v>7.8277012768887183E-2</v>
      </c>
      <c r="Z50" s="18" t="s">
        <v>64</v>
      </c>
    </row>
    <row r="51" spans="1:26" x14ac:dyDescent="0.25">
      <c r="A51" s="1" t="s">
        <v>25</v>
      </c>
      <c r="B51" s="16">
        <v>42</v>
      </c>
      <c r="C51" s="16" t="s">
        <v>183</v>
      </c>
      <c r="D51" s="17" t="s">
        <v>184</v>
      </c>
      <c r="E51" s="17"/>
      <c r="F51" s="16" t="s">
        <v>100</v>
      </c>
      <c r="G51" s="16">
        <v>1807</v>
      </c>
      <c r="H51" s="19" t="s">
        <v>185</v>
      </c>
      <c r="I51" s="26">
        <v>112000</v>
      </c>
      <c r="J51" s="26">
        <v>0</v>
      </c>
      <c r="K51" s="21">
        <v>0</v>
      </c>
      <c r="L51" s="21">
        <v>0</v>
      </c>
      <c r="M51" s="21">
        <v>0</v>
      </c>
      <c r="N51" s="20">
        <f t="shared" si="0"/>
        <v>112000</v>
      </c>
      <c r="O51" s="27">
        <f>51000+61000</f>
        <v>112000</v>
      </c>
      <c r="P51" s="27">
        <v>0</v>
      </c>
      <c r="Q51" s="27">
        <v>0</v>
      </c>
      <c r="R51" s="27">
        <v>0</v>
      </c>
      <c r="S51" s="27">
        <v>0</v>
      </c>
      <c r="T51" s="22">
        <f t="shared" si="1"/>
        <v>112000</v>
      </c>
      <c r="U51" s="23"/>
      <c r="V51" s="23">
        <f t="shared" si="2"/>
        <v>0</v>
      </c>
      <c r="W51" s="23">
        <f t="shared" si="3"/>
        <v>112000</v>
      </c>
      <c r="X51" s="23">
        <f t="shared" si="4"/>
        <v>0</v>
      </c>
      <c r="Y51" s="24">
        <f t="shared" si="5"/>
        <v>1.5865366734939207E-3</v>
      </c>
      <c r="Z51" s="17" t="s">
        <v>47</v>
      </c>
    </row>
    <row r="52" spans="1:26" ht="31.5" x14ac:dyDescent="0.25">
      <c r="A52" s="1" t="s">
        <v>25</v>
      </c>
      <c r="B52" s="16">
        <v>43</v>
      </c>
      <c r="C52" s="16" t="s">
        <v>186</v>
      </c>
      <c r="D52" s="17" t="s">
        <v>187</v>
      </c>
      <c r="E52" s="18" t="s">
        <v>28</v>
      </c>
      <c r="F52" s="16" t="s">
        <v>188</v>
      </c>
      <c r="G52" s="16">
        <v>309</v>
      </c>
      <c r="H52" s="19" t="s">
        <v>189</v>
      </c>
      <c r="I52" s="26">
        <v>90045</v>
      </c>
      <c r="J52" s="26">
        <v>0</v>
      </c>
      <c r="K52" s="21">
        <v>0</v>
      </c>
      <c r="L52" s="21">
        <v>0</v>
      </c>
      <c r="M52" s="21">
        <v>0</v>
      </c>
      <c r="N52" s="20">
        <f t="shared" si="0"/>
        <v>90045</v>
      </c>
      <c r="O52" s="27">
        <f>79110+10935</f>
        <v>90045</v>
      </c>
      <c r="P52" s="27">
        <v>0</v>
      </c>
      <c r="Q52" s="27">
        <v>0</v>
      </c>
      <c r="R52" s="27">
        <v>0</v>
      </c>
      <c r="S52" s="27">
        <v>0</v>
      </c>
      <c r="T52" s="22">
        <f t="shared" si="1"/>
        <v>90045</v>
      </c>
      <c r="U52" s="23"/>
      <c r="V52" s="23">
        <f t="shared" si="2"/>
        <v>0</v>
      </c>
      <c r="W52" s="23">
        <f t="shared" si="3"/>
        <v>90045</v>
      </c>
      <c r="X52" s="23">
        <f t="shared" si="4"/>
        <v>0</v>
      </c>
      <c r="Y52" s="24">
        <f t="shared" si="5"/>
        <v>1.2755329889710721E-3</v>
      </c>
      <c r="Z52" s="17" t="s">
        <v>42</v>
      </c>
    </row>
    <row r="53" spans="1:26" x14ac:dyDescent="0.25">
      <c r="A53" s="1" t="s">
        <v>25</v>
      </c>
      <c r="B53" s="16">
        <v>44</v>
      </c>
      <c r="C53" s="16" t="s">
        <v>190</v>
      </c>
      <c r="D53" s="17" t="s">
        <v>191</v>
      </c>
      <c r="E53" s="17"/>
      <c r="F53" s="16"/>
      <c r="G53" s="16"/>
      <c r="H53" s="19" t="s">
        <v>192</v>
      </c>
      <c r="I53" s="26">
        <v>350000</v>
      </c>
      <c r="J53" s="26">
        <v>0</v>
      </c>
      <c r="K53" s="21">
        <v>0</v>
      </c>
      <c r="L53" s="21">
        <v>0</v>
      </c>
      <c r="M53" s="21">
        <v>0</v>
      </c>
      <c r="N53" s="20">
        <f t="shared" si="0"/>
        <v>350000</v>
      </c>
      <c r="O53" s="27">
        <f>51000+100000+149000</f>
        <v>300000</v>
      </c>
      <c r="P53" s="31"/>
      <c r="Q53" s="31"/>
      <c r="R53" s="31"/>
      <c r="S53" s="31"/>
      <c r="T53" s="22">
        <f t="shared" si="1"/>
        <v>300000</v>
      </c>
      <c r="U53" s="23"/>
      <c r="V53" s="23">
        <f t="shared" si="2"/>
        <v>50000</v>
      </c>
      <c r="W53" s="23">
        <f t="shared" si="3"/>
        <v>350000</v>
      </c>
      <c r="X53" s="23">
        <f t="shared" si="4"/>
        <v>0</v>
      </c>
      <c r="Y53" s="24">
        <f t="shared" si="5"/>
        <v>4.2496518040015729E-3</v>
      </c>
      <c r="Z53" s="17" t="s">
        <v>47</v>
      </c>
    </row>
    <row r="54" spans="1:26" x14ac:dyDescent="0.25">
      <c r="A54" s="1" t="s">
        <v>25</v>
      </c>
      <c r="B54" s="16">
        <v>45</v>
      </c>
      <c r="C54" s="16" t="s">
        <v>193</v>
      </c>
      <c r="D54" s="17" t="s">
        <v>194</v>
      </c>
      <c r="E54" s="17"/>
      <c r="F54" s="16" t="s">
        <v>100</v>
      </c>
      <c r="G54" s="16">
        <v>1808</v>
      </c>
      <c r="H54" s="19" t="s">
        <v>195</v>
      </c>
      <c r="I54" s="26">
        <v>2393000</v>
      </c>
      <c r="J54" s="26">
        <v>0</v>
      </c>
      <c r="K54" s="21">
        <v>0</v>
      </c>
      <c r="L54" s="21">
        <v>0</v>
      </c>
      <c r="M54" s="21">
        <v>0</v>
      </c>
      <c r="N54" s="20">
        <f t="shared" si="0"/>
        <v>2393000</v>
      </c>
      <c r="O54" s="27">
        <f>51000+100000+61000</f>
        <v>212000</v>
      </c>
      <c r="P54" s="27">
        <v>0</v>
      </c>
      <c r="Q54" s="27">
        <v>0</v>
      </c>
      <c r="R54" s="27">
        <v>0</v>
      </c>
      <c r="S54" s="27">
        <v>0</v>
      </c>
      <c r="T54" s="22">
        <f t="shared" si="1"/>
        <v>212000</v>
      </c>
      <c r="U54" s="23">
        <v>2181000</v>
      </c>
      <c r="V54" s="23">
        <f t="shared" si="2"/>
        <v>0</v>
      </c>
      <c r="W54" s="23">
        <f t="shared" si="3"/>
        <v>2393000</v>
      </c>
      <c r="X54" s="23">
        <f t="shared" si="4"/>
        <v>0</v>
      </c>
      <c r="Y54" s="24">
        <f t="shared" si="5"/>
        <v>3.0030872748277784E-3</v>
      </c>
      <c r="Z54" s="17" t="s">
        <v>47</v>
      </c>
    </row>
    <row r="55" spans="1:26" ht="31.5" x14ac:dyDescent="0.25">
      <c r="A55" s="1" t="s">
        <v>25</v>
      </c>
      <c r="B55" s="16">
        <v>46</v>
      </c>
      <c r="C55" s="16" t="s">
        <v>196</v>
      </c>
      <c r="D55" s="17" t="s">
        <v>197</v>
      </c>
      <c r="E55" s="18" t="s">
        <v>72</v>
      </c>
      <c r="F55" s="32" t="s">
        <v>198</v>
      </c>
      <c r="G55" s="32" t="s">
        <v>199</v>
      </c>
      <c r="H55" s="19" t="s">
        <v>200</v>
      </c>
      <c r="I55" s="26">
        <v>6560000</v>
      </c>
      <c r="J55" s="26"/>
      <c r="K55" s="21"/>
      <c r="L55" s="21"/>
      <c r="M55" s="21"/>
      <c r="N55" s="20">
        <f t="shared" si="0"/>
        <v>6560000</v>
      </c>
      <c r="O55" s="27">
        <v>6560000</v>
      </c>
      <c r="P55" s="27"/>
      <c r="Q55" s="27"/>
      <c r="R55" s="27"/>
      <c r="S55" s="27"/>
      <c r="T55" s="22">
        <f t="shared" si="1"/>
        <v>6560000</v>
      </c>
      <c r="U55" s="23"/>
      <c r="V55" s="23">
        <f t="shared" si="2"/>
        <v>0</v>
      </c>
      <c r="W55" s="23">
        <f t="shared" si="3"/>
        <v>6560000</v>
      </c>
      <c r="X55" s="23">
        <f t="shared" si="4"/>
        <v>0</v>
      </c>
      <c r="Y55" s="24">
        <f t="shared" si="5"/>
        <v>9.2925719447501068E-2</v>
      </c>
      <c r="Z55" s="17" t="s">
        <v>47</v>
      </c>
    </row>
    <row r="56" spans="1:26" ht="31.5" x14ac:dyDescent="0.25">
      <c r="A56" s="1" t="s">
        <v>25</v>
      </c>
      <c r="B56" s="16">
        <v>47</v>
      </c>
      <c r="C56" s="16" t="s">
        <v>201</v>
      </c>
      <c r="D56" s="17" t="s">
        <v>202</v>
      </c>
      <c r="E56" s="18" t="s">
        <v>72</v>
      </c>
      <c r="F56" s="16" t="s">
        <v>181</v>
      </c>
      <c r="G56" s="16">
        <v>101</v>
      </c>
      <c r="H56" s="19" t="s">
        <v>203</v>
      </c>
      <c r="I56" s="26">
        <v>2625000</v>
      </c>
      <c r="J56" s="26"/>
      <c r="K56" s="21"/>
      <c r="L56" s="21"/>
      <c r="M56" s="21"/>
      <c r="N56" s="20">
        <f t="shared" si="0"/>
        <v>2625000</v>
      </c>
      <c r="O56" s="27">
        <v>2625000</v>
      </c>
      <c r="P56" s="27"/>
      <c r="Q56" s="27"/>
      <c r="R56" s="27"/>
      <c r="S56" s="27"/>
      <c r="T56" s="22">
        <f t="shared" si="1"/>
        <v>2625000</v>
      </c>
      <c r="U56" s="23"/>
      <c r="V56" s="23">
        <f t="shared" si="2"/>
        <v>0</v>
      </c>
      <c r="W56" s="23">
        <f t="shared" si="3"/>
        <v>2625000</v>
      </c>
      <c r="X56" s="23">
        <f t="shared" si="4"/>
        <v>0</v>
      </c>
      <c r="Y56" s="24">
        <f t="shared" si="5"/>
        <v>3.7184453285013762E-2</v>
      </c>
      <c r="Z56" s="17" t="s">
        <v>47</v>
      </c>
    </row>
    <row r="57" spans="1:26" x14ac:dyDescent="0.25">
      <c r="A57" s="1" t="s">
        <v>25</v>
      </c>
      <c r="B57" s="16">
        <v>48</v>
      </c>
      <c r="C57" s="16" t="s">
        <v>204</v>
      </c>
      <c r="D57" s="33" t="s">
        <v>205</v>
      </c>
      <c r="E57" s="17"/>
      <c r="F57" s="16" t="s">
        <v>100</v>
      </c>
      <c r="G57" s="16">
        <v>1803</v>
      </c>
      <c r="H57" s="19" t="s">
        <v>206</v>
      </c>
      <c r="I57" s="26">
        <v>1383467</v>
      </c>
      <c r="J57" s="26">
        <v>642879</v>
      </c>
      <c r="K57" s="21">
        <v>0</v>
      </c>
      <c r="L57" s="21">
        <v>0</v>
      </c>
      <c r="M57" s="21">
        <v>0</v>
      </c>
      <c r="N57" s="20">
        <f t="shared" si="0"/>
        <v>2026346</v>
      </c>
      <c r="O57" s="27">
        <v>1383467</v>
      </c>
      <c r="P57" s="27">
        <f>+J57</f>
        <v>642879</v>
      </c>
      <c r="Q57" s="27">
        <v>0</v>
      </c>
      <c r="R57" s="27">
        <v>0</v>
      </c>
      <c r="S57" s="27">
        <v>0</v>
      </c>
      <c r="T57" s="22">
        <f t="shared" si="1"/>
        <v>2026346</v>
      </c>
      <c r="U57" s="23"/>
      <c r="V57" s="23">
        <f t="shared" si="2"/>
        <v>0</v>
      </c>
      <c r="W57" s="23">
        <f t="shared" si="3"/>
        <v>2026346</v>
      </c>
      <c r="X57" s="23">
        <f t="shared" si="4"/>
        <v>0</v>
      </c>
      <c r="Y57" s="24">
        <f t="shared" si="5"/>
        <v>2.8704216448104572E-2</v>
      </c>
      <c r="Z57" s="17" t="s">
        <v>47</v>
      </c>
    </row>
    <row r="58" spans="1:26" ht="47.25" x14ac:dyDescent="0.25">
      <c r="A58" s="1" t="s">
        <v>25</v>
      </c>
      <c r="B58" s="16">
        <v>49</v>
      </c>
      <c r="C58" s="16" t="s">
        <v>207</v>
      </c>
      <c r="D58" s="17" t="s">
        <v>208</v>
      </c>
      <c r="E58" s="17"/>
      <c r="F58" s="16" t="s">
        <v>209</v>
      </c>
      <c r="G58" s="16">
        <v>113</v>
      </c>
      <c r="H58" s="19" t="s">
        <v>174</v>
      </c>
      <c r="I58" s="26">
        <v>742911</v>
      </c>
      <c r="J58" s="26"/>
      <c r="K58" s="21">
        <v>0</v>
      </c>
      <c r="L58" s="21">
        <v>0</v>
      </c>
      <c r="M58" s="21">
        <v>0</v>
      </c>
      <c r="N58" s="20">
        <f t="shared" si="0"/>
        <v>742911</v>
      </c>
      <c r="O58" s="27">
        <f>113642+145000+72499+8700+7825</f>
        <v>347666</v>
      </c>
      <c r="P58" s="27"/>
      <c r="Q58" s="27">
        <v>0</v>
      </c>
      <c r="R58" s="27">
        <v>0</v>
      </c>
      <c r="S58" s="27">
        <v>0</v>
      </c>
      <c r="T58" s="22">
        <f t="shared" si="1"/>
        <v>347666</v>
      </c>
      <c r="U58" s="23">
        <v>395245</v>
      </c>
      <c r="V58" s="23">
        <f t="shared" si="2"/>
        <v>0</v>
      </c>
      <c r="W58" s="23">
        <f t="shared" si="3"/>
        <v>742911</v>
      </c>
      <c r="X58" s="23">
        <f t="shared" si="4"/>
        <v>0</v>
      </c>
      <c r="Y58" s="24">
        <f t="shared" si="5"/>
        <v>4.9248648136333692E-3</v>
      </c>
      <c r="Z58" s="18" t="s">
        <v>64</v>
      </c>
    </row>
    <row r="59" spans="1:26" x14ac:dyDescent="0.25">
      <c r="A59" s="1" t="s">
        <v>25</v>
      </c>
      <c r="B59" s="16">
        <v>50</v>
      </c>
      <c r="C59" s="16" t="s">
        <v>210</v>
      </c>
      <c r="D59" s="17" t="s">
        <v>211</v>
      </c>
      <c r="E59" s="17"/>
      <c r="F59" s="16" t="s">
        <v>39</v>
      </c>
      <c r="G59" s="16">
        <v>303</v>
      </c>
      <c r="H59" s="19" t="s">
        <v>212</v>
      </c>
      <c r="I59" s="26">
        <v>1804530</v>
      </c>
      <c r="J59" s="26">
        <v>857336</v>
      </c>
      <c r="K59" s="21">
        <v>0</v>
      </c>
      <c r="L59" s="21">
        <v>0</v>
      </c>
      <c r="M59" s="21">
        <v>0</v>
      </c>
      <c r="N59" s="20">
        <f t="shared" si="0"/>
        <v>2661866</v>
      </c>
      <c r="O59" s="27">
        <f>500000+400000+168862+229078+506590</f>
        <v>1804530</v>
      </c>
      <c r="P59" s="27">
        <f>+J59/9%*8%</f>
        <v>762076.4444444445</v>
      </c>
      <c r="Q59" s="27">
        <v>0</v>
      </c>
      <c r="R59" s="27">
        <v>0</v>
      </c>
      <c r="S59" s="27">
        <v>0</v>
      </c>
      <c r="T59" s="22">
        <f t="shared" si="1"/>
        <v>2566606.4444444445</v>
      </c>
      <c r="U59" s="23"/>
      <c r="V59" s="23">
        <f t="shared" si="2"/>
        <v>95259.555555555504</v>
      </c>
      <c r="W59" s="23">
        <f t="shared" si="3"/>
        <v>2661866</v>
      </c>
      <c r="X59" s="23">
        <f t="shared" si="4"/>
        <v>0</v>
      </c>
      <c r="Y59" s="24">
        <f t="shared" si="5"/>
        <v>3.6357279022651325E-2</v>
      </c>
      <c r="Z59" s="17" t="s">
        <v>47</v>
      </c>
    </row>
    <row r="60" spans="1:26" x14ac:dyDescent="0.25">
      <c r="A60" s="1" t="s">
        <v>74</v>
      </c>
      <c r="B60" s="16">
        <v>51</v>
      </c>
      <c r="C60" s="16" t="s">
        <v>213</v>
      </c>
      <c r="D60" s="17" t="s">
        <v>214</v>
      </c>
      <c r="E60" s="17"/>
      <c r="F60" s="16" t="s">
        <v>168</v>
      </c>
      <c r="G60" s="16">
        <v>708</v>
      </c>
      <c r="H60" s="19" t="s">
        <v>215</v>
      </c>
      <c r="I60" s="21">
        <f>1193757-L60</f>
        <v>1103157</v>
      </c>
      <c r="J60" s="21"/>
      <c r="K60" s="21"/>
      <c r="L60" s="21">
        <f>75700+12700+2200</f>
        <v>90600</v>
      </c>
      <c r="M60" s="21"/>
      <c r="N60" s="20">
        <f t="shared" si="0"/>
        <v>1193757</v>
      </c>
      <c r="O60" s="22">
        <v>14121</v>
      </c>
      <c r="P60" s="22"/>
      <c r="Q60" s="22"/>
      <c r="R60" s="22">
        <v>0</v>
      </c>
      <c r="S60" s="22"/>
      <c r="T60" s="22">
        <f t="shared" si="1"/>
        <v>14121</v>
      </c>
      <c r="U60" s="23">
        <v>1089000</v>
      </c>
      <c r="V60" s="23">
        <f t="shared" si="2"/>
        <v>90636</v>
      </c>
      <c r="W60" s="23">
        <f t="shared" si="3"/>
        <v>1193757</v>
      </c>
      <c r="X60" s="23">
        <f t="shared" si="4"/>
        <v>0</v>
      </c>
      <c r="Y60" s="24">
        <f t="shared" si="5"/>
        <v>2.0003111041435405E-4</v>
      </c>
      <c r="Z60" s="17" t="s">
        <v>47</v>
      </c>
    </row>
    <row r="61" spans="1:26" ht="47.25" x14ac:dyDescent="0.25">
      <c r="A61" s="1" t="s">
        <v>74</v>
      </c>
      <c r="B61" s="16">
        <v>52</v>
      </c>
      <c r="C61" s="16" t="s">
        <v>216</v>
      </c>
      <c r="D61" s="17" t="s">
        <v>217</v>
      </c>
      <c r="E61" s="17"/>
      <c r="F61" s="16" t="s">
        <v>155</v>
      </c>
      <c r="G61" s="16">
        <v>1805</v>
      </c>
      <c r="H61" s="19" t="s">
        <v>218</v>
      </c>
      <c r="I61" s="21">
        <v>211172</v>
      </c>
      <c r="J61" s="21">
        <v>255662</v>
      </c>
      <c r="K61" s="21"/>
      <c r="L61" s="21"/>
      <c r="M61" s="21"/>
      <c r="N61" s="20">
        <f t="shared" si="0"/>
        <v>466834</v>
      </c>
      <c r="O61" s="22">
        <v>211172</v>
      </c>
      <c r="P61" s="22">
        <f>+J61/12%*8%</f>
        <v>170441.33333333337</v>
      </c>
      <c r="Q61" s="22"/>
      <c r="R61" s="22"/>
      <c r="S61" s="22"/>
      <c r="T61" s="22">
        <f t="shared" si="1"/>
        <v>381613.33333333337</v>
      </c>
      <c r="U61" s="23"/>
      <c r="V61" s="23">
        <f t="shared" si="2"/>
        <v>85220.666666666628</v>
      </c>
      <c r="W61" s="23">
        <f t="shared" si="3"/>
        <v>466834</v>
      </c>
      <c r="X61" s="23">
        <f t="shared" si="4"/>
        <v>0</v>
      </c>
      <c r="Y61" s="24">
        <f t="shared" si="5"/>
        <v>5.4057459681035131E-3</v>
      </c>
      <c r="Z61" s="18" t="s">
        <v>64</v>
      </c>
    </row>
    <row r="62" spans="1:26" x14ac:dyDescent="0.25">
      <c r="A62" s="1" t="s">
        <v>74</v>
      </c>
      <c r="B62" s="16">
        <v>53</v>
      </c>
      <c r="C62" s="16" t="s">
        <v>219</v>
      </c>
      <c r="D62" s="17" t="s">
        <v>220</v>
      </c>
      <c r="E62" s="17"/>
      <c r="F62" s="16" t="s">
        <v>155</v>
      </c>
      <c r="G62" s="16">
        <v>110</v>
      </c>
      <c r="H62" s="19" t="s">
        <v>221</v>
      </c>
      <c r="I62" s="21">
        <v>1000000</v>
      </c>
      <c r="J62" s="21"/>
      <c r="K62" s="21"/>
      <c r="L62" s="21"/>
      <c r="M62" s="21"/>
      <c r="N62" s="20">
        <f t="shared" si="0"/>
        <v>1000000</v>
      </c>
      <c r="O62" s="22">
        <v>1000000</v>
      </c>
      <c r="P62" s="22"/>
      <c r="Q62" s="22"/>
      <c r="R62" s="22"/>
      <c r="S62" s="22"/>
      <c r="T62" s="22">
        <f t="shared" si="1"/>
        <v>1000000</v>
      </c>
      <c r="U62" s="23"/>
      <c r="V62" s="23">
        <f t="shared" si="2"/>
        <v>0</v>
      </c>
      <c r="W62" s="23">
        <f t="shared" si="3"/>
        <v>1000000</v>
      </c>
      <c r="X62" s="23">
        <f t="shared" si="4"/>
        <v>0</v>
      </c>
      <c r="Y62" s="24">
        <f t="shared" si="5"/>
        <v>1.4165506013338576E-2</v>
      </c>
      <c r="Z62" s="17" t="s">
        <v>42</v>
      </c>
    </row>
    <row r="63" spans="1:26" x14ac:dyDescent="0.25">
      <c r="A63" s="1" t="s">
        <v>74</v>
      </c>
      <c r="B63" s="16">
        <v>54</v>
      </c>
      <c r="C63" s="16" t="s">
        <v>222</v>
      </c>
      <c r="D63" s="17" t="s">
        <v>223</v>
      </c>
      <c r="E63" s="17"/>
      <c r="F63" s="16" t="s">
        <v>224</v>
      </c>
      <c r="G63" s="16">
        <v>215</v>
      </c>
      <c r="H63" s="19" t="s">
        <v>225</v>
      </c>
      <c r="I63" s="21">
        <v>125000</v>
      </c>
      <c r="J63" s="21">
        <f>51878+5631+64413+2603+8549</f>
        <v>133074</v>
      </c>
      <c r="K63" s="21"/>
      <c r="L63" s="21">
        <v>7600</v>
      </c>
      <c r="M63" s="21">
        <f>1861134-I63-J63-7600</f>
        <v>1595460</v>
      </c>
      <c r="N63" s="20">
        <f t="shared" si="0"/>
        <v>1861134</v>
      </c>
      <c r="O63" s="22">
        <v>125000</v>
      </c>
      <c r="P63" s="22">
        <f>+J63</f>
        <v>133074</v>
      </c>
      <c r="Q63" s="22"/>
      <c r="R63" s="22"/>
      <c r="S63" s="22"/>
      <c r="T63" s="22">
        <f t="shared" si="1"/>
        <v>258074</v>
      </c>
      <c r="U63" s="23"/>
      <c r="V63" s="23">
        <f t="shared" si="2"/>
        <v>1603060</v>
      </c>
      <c r="W63" s="23">
        <f t="shared" si="3"/>
        <v>1861134</v>
      </c>
      <c r="X63" s="23">
        <f t="shared" si="4"/>
        <v>0</v>
      </c>
      <c r="Y63" s="24">
        <f t="shared" si="5"/>
        <v>3.6557487988863402E-3</v>
      </c>
      <c r="Z63" s="17" t="s">
        <v>47</v>
      </c>
    </row>
    <row r="64" spans="1:26" x14ac:dyDescent="0.25">
      <c r="A64" s="1" t="s">
        <v>74</v>
      </c>
      <c r="B64" s="16">
        <v>55</v>
      </c>
      <c r="C64" s="16" t="s">
        <v>226</v>
      </c>
      <c r="D64" s="17" t="s">
        <v>227</v>
      </c>
      <c r="E64" s="17"/>
      <c r="F64" s="16" t="s">
        <v>173</v>
      </c>
      <c r="G64" s="16">
        <v>105</v>
      </c>
      <c r="H64" s="19" t="s">
        <v>228</v>
      </c>
      <c r="I64" s="21">
        <v>912714</v>
      </c>
      <c r="J64" s="21"/>
      <c r="K64" s="21"/>
      <c r="L64" s="21"/>
      <c r="M64" s="21"/>
      <c r="N64" s="20">
        <f t="shared" si="0"/>
        <v>912714</v>
      </c>
      <c r="O64" s="22">
        <v>912714</v>
      </c>
      <c r="P64" s="22"/>
      <c r="Q64" s="22"/>
      <c r="R64" s="22"/>
      <c r="S64" s="22"/>
      <c r="T64" s="22">
        <f t="shared" si="1"/>
        <v>912714</v>
      </c>
      <c r="U64" s="23"/>
      <c r="V64" s="23">
        <f t="shared" si="2"/>
        <v>0</v>
      </c>
      <c r="W64" s="23">
        <f t="shared" si="3"/>
        <v>912714</v>
      </c>
      <c r="X64" s="23">
        <f t="shared" si="4"/>
        <v>0</v>
      </c>
      <c r="Y64" s="24">
        <f t="shared" si="5"/>
        <v>1.2929055655458306E-2</v>
      </c>
      <c r="Z64" s="17" t="s">
        <v>47</v>
      </c>
    </row>
    <row r="65" spans="1:27" x14ac:dyDescent="0.25">
      <c r="A65" s="1" t="s">
        <v>25</v>
      </c>
      <c r="B65" s="16">
        <v>56</v>
      </c>
      <c r="C65" s="16" t="s">
        <v>229</v>
      </c>
      <c r="D65" s="17" t="s">
        <v>230</v>
      </c>
      <c r="E65" s="17"/>
      <c r="F65" s="16" t="s">
        <v>155</v>
      </c>
      <c r="G65" s="16">
        <v>1506</v>
      </c>
      <c r="H65" s="19" t="s">
        <v>231</v>
      </c>
      <c r="I65" s="21">
        <v>975002</v>
      </c>
      <c r="J65" s="21">
        <v>808419</v>
      </c>
      <c r="K65" s="21"/>
      <c r="L65" s="21"/>
      <c r="M65" s="21"/>
      <c r="N65" s="20">
        <f t="shared" si="0"/>
        <v>1783421</v>
      </c>
      <c r="O65" s="22">
        <v>975002</v>
      </c>
      <c r="P65" s="22">
        <f>+J65/24%*8%</f>
        <v>269473</v>
      </c>
      <c r="Q65" s="22"/>
      <c r="R65" s="22"/>
      <c r="S65" s="22"/>
      <c r="T65" s="22">
        <f t="shared" si="1"/>
        <v>1244475</v>
      </c>
      <c r="U65" s="23"/>
      <c r="V65" s="23">
        <f t="shared" si="2"/>
        <v>538946</v>
      </c>
      <c r="W65" s="23">
        <f t="shared" si="3"/>
        <v>1783421</v>
      </c>
      <c r="X65" s="23">
        <f t="shared" si="4"/>
        <v>0</v>
      </c>
      <c r="Y65" s="24">
        <f t="shared" si="5"/>
        <v>1.7628618095949525E-2</v>
      </c>
      <c r="Z65" s="17" t="s">
        <v>42</v>
      </c>
    </row>
    <row r="66" spans="1:27" x14ac:dyDescent="0.25">
      <c r="A66" s="1" t="s">
        <v>74</v>
      </c>
      <c r="B66" s="16">
        <v>57</v>
      </c>
      <c r="C66" s="16" t="s">
        <v>232</v>
      </c>
      <c r="D66" s="17" t="s">
        <v>233</v>
      </c>
      <c r="E66" s="17"/>
      <c r="F66" s="16" t="s">
        <v>100</v>
      </c>
      <c r="G66" s="16">
        <v>1206</v>
      </c>
      <c r="H66" s="19" t="s">
        <v>234</v>
      </c>
      <c r="I66" s="21">
        <v>741668</v>
      </c>
      <c r="J66" s="21"/>
      <c r="K66" s="21"/>
      <c r="L66" s="21"/>
      <c r="M66" s="21"/>
      <c r="N66" s="20">
        <f t="shared" si="0"/>
        <v>741668</v>
      </c>
      <c r="O66" s="22">
        <v>591668</v>
      </c>
      <c r="P66" s="22"/>
      <c r="Q66" s="22"/>
      <c r="R66" s="22"/>
      <c r="S66" s="22"/>
      <c r="T66" s="22">
        <f t="shared" si="1"/>
        <v>591668</v>
      </c>
      <c r="U66" s="23"/>
      <c r="V66" s="23">
        <f t="shared" si="2"/>
        <v>150000</v>
      </c>
      <c r="W66" s="23">
        <f t="shared" si="3"/>
        <v>741668</v>
      </c>
      <c r="X66" s="23">
        <f t="shared" si="4"/>
        <v>0</v>
      </c>
      <c r="Y66" s="24">
        <f t="shared" si="5"/>
        <v>8.3812766119000098E-3</v>
      </c>
      <c r="Z66" s="17"/>
    </row>
    <row r="67" spans="1:27" x14ac:dyDescent="0.25">
      <c r="A67" s="34" t="s">
        <v>235</v>
      </c>
      <c r="B67" s="35">
        <v>58</v>
      </c>
      <c r="C67" s="35" t="s">
        <v>236</v>
      </c>
      <c r="D67" s="33" t="s">
        <v>237</v>
      </c>
      <c r="E67" s="33"/>
      <c r="F67" s="17"/>
      <c r="G67" s="17"/>
      <c r="H67" s="19" t="s">
        <v>238</v>
      </c>
      <c r="I67" s="21">
        <v>2329362195</v>
      </c>
      <c r="J67" s="21"/>
      <c r="K67" s="21"/>
      <c r="L67" s="21"/>
      <c r="M67" s="21"/>
      <c r="N67" s="20">
        <f t="shared" si="0"/>
        <v>2329362195</v>
      </c>
      <c r="O67" s="22"/>
      <c r="P67" s="22"/>
      <c r="Q67" s="22"/>
      <c r="R67" s="22"/>
      <c r="S67" s="22"/>
      <c r="T67" s="22">
        <f t="shared" si="1"/>
        <v>0</v>
      </c>
      <c r="U67" s="23">
        <v>2329362195</v>
      </c>
      <c r="V67" s="23">
        <f t="shared" si="2"/>
        <v>0</v>
      </c>
      <c r="W67" s="23">
        <f t="shared" si="3"/>
        <v>2329362195</v>
      </c>
      <c r="X67" s="23">
        <f t="shared" si="4"/>
        <v>0</v>
      </c>
      <c r="Y67" s="24">
        <f t="shared" si="5"/>
        <v>0</v>
      </c>
      <c r="Z67" s="17"/>
    </row>
    <row r="68" spans="1:27" x14ac:dyDescent="0.25">
      <c r="A68" s="1" t="s">
        <v>74</v>
      </c>
      <c r="B68" s="16">
        <v>59</v>
      </c>
      <c r="C68" s="16" t="s">
        <v>239</v>
      </c>
      <c r="D68" s="17" t="s">
        <v>240</v>
      </c>
      <c r="E68" s="17"/>
      <c r="F68" s="17"/>
      <c r="G68" s="17"/>
      <c r="H68" s="19" t="s">
        <v>241</v>
      </c>
      <c r="I68" s="26">
        <v>1077182</v>
      </c>
      <c r="J68" s="21"/>
      <c r="K68" s="26"/>
      <c r="L68" s="26"/>
      <c r="M68" s="26"/>
      <c r="N68" s="20">
        <f t="shared" si="0"/>
        <v>1077182</v>
      </c>
      <c r="O68" s="22">
        <v>1077178</v>
      </c>
      <c r="P68" s="22"/>
      <c r="Q68" s="22"/>
      <c r="R68" s="22"/>
      <c r="S68" s="22"/>
      <c r="T68" s="22">
        <f t="shared" si="1"/>
        <v>1077178</v>
      </c>
      <c r="U68" s="23"/>
      <c r="V68" s="23">
        <f t="shared" si="2"/>
        <v>4</v>
      </c>
      <c r="W68" s="23">
        <f t="shared" si="3"/>
        <v>1077182</v>
      </c>
      <c r="X68" s="23">
        <f t="shared" si="4"/>
        <v>0</v>
      </c>
      <c r="Y68" s="24">
        <f t="shared" si="5"/>
        <v>1.5258771436436022E-2</v>
      </c>
      <c r="Z68" s="17"/>
    </row>
    <row r="69" spans="1:27" x14ac:dyDescent="0.25">
      <c r="A69" s="1" t="s">
        <v>74</v>
      </c>
      <c r="B69" s="16">
        <v>60</v>
      </c>
      <c r="C69" s="16" t="s">
        <v>242</v>
      </c>
      <c r="D69" s="17" t="s">
        <v>240</v>
      </c>
      <c r="E69" s="17"/>
      <c r="F69" s="17"/>
      <c r="G69" s="17"/>
      <c r="H69" s="19" t="s">
        <v>241</v>
      </c>
      <c r="I69" s="26">
        <v>1076910</v>
      </c>
      <c r="J69" s="21"/>
      <c r="K69" s="36"/>
      <c r="L69" s="36"/>
      <c r="M69" s="36"/>
      <c r="N69" s="20">
        <f t="shared" si="0"/>
        <v>1076910</v>
      </c>
      <c r="O69" s="22">
        <v>1076910</v>
      </c>
      <c r="P69" s="22"/>
      <c r="Q69" s="22"/>
      <c r="R69" s="22"/>
      <c r="S69" s="22"/>
      <c r="T69" s="22">
        <f t="shared" si="1"/>
        <v>1076910</v>
      </c>
      <c r="U69" s="23"/>
      <c r="V69" s="23">
        <f t="shared" si="2"/>
        <v>0</v>
      </c>
      <c r="W69" s="23">
        <f t="shared" si="3"/>
        <v>1076910</v>
      </c>
      <c r="X69" s="23">
        <f t="shared" si="4"/>
        <v>0</v>
      </c>
      <c r="Y69" s="24">
        <f t="shared" si="5"/>
        <v>1.5254975080824447E-2</v>
      </c>
      <c r="Z69" s="17"/>
    </row>
    <row r="70" spans="1:27" x14ac:dyDescent="0.25">
      <c r="A70" s="1" t="s">
        <v>25</v>
      </c>
      <c r="B70" s="16">
        <v>61</v>
      </c>
      <c r="C70" s="16" t="s">
        <v>243</v>
      </c>
      <c r="D70" s="17" t="s">
        <v>244</v>
      </c>
      <c r="E70" s="17"/>
      <c r="F70" s="16" t="s">
        <v>100</v>
      </c>
      <c r="G70" s="16">
        <v>501</v>
      </c>
      <c r="H70" s="19" t="s">
        <v>245</v>
      </c>
      <c r="I70" s="26">
        <v>936252</v>
      </c>
      <c r="J70" s="26">
        <v>373120</v>
      </c>
      <c r="K70" s="21"/>
      <c r="L70" s="21"/>
      <c r="M70" s="21"/>
      <c r="N70" s="20">
        <f t="shared" si="0"/>
        <v>1309372</v>
      </c>
      <c r="O70" s="27">
        <f>314178+14140+263909+131955+127241+84829</f>
        <v>936252</v>
      </c>
      <c r="P70" s="27">
        <f>+J70</f>
        <v>373120</v>
      </c>
      <c r="Q70" s="27">
        <v>0</v>
      </c>
      <c r="R70" s="27">
        <v>0</v>
      </c>
      <c r="S70" s="27">
        <v>0</v>
      </c>
      <c r="T70" s="22">
        <f t="shared" si="1"/>
        <v>1309372</v>
      </c>
      <c r="U70" s="23"/>
      <c r="V70" s="23">
        <f t="shared" si="2"/>
        <v>0</v>
      </c>
      <c r="W70" s="23">
        <f t="shared" si="3"/>
        <v>1309372</v>
      </c>
      <c r="X70" s="23">
        <f t="shared" si="4"/>
        <v>0</v>
      </c>
      <c r="Y70" s="24">
        <f t="shared" si="5"/>
        <v>1.8547916939697158E-2</v>
      </c>
      <c r="Z70" s="17" t="s">
        <v>47</v>
      </c>
    </row>
    <row r="71" spans="1:27" x14ac:dyDescent="0.25">
      <c r="A71" s="1" t="s">
        <v>25</v>
      </c>
      <c r="B71" s="16">
        <v>62</v>
      </c>
      <c r="C71" s="16" t="s">
        <v>246</v>
      </c>
      <c r="D71" s="33" t="s">
        <v>247</v>
      </c>
      <c r="E71" s="17" t="s">
        <v>34</v>
      </c>
      <c r="F71" s="16" t="s">
        <v>100</v>
      </c>
      <c r="G71" s="16" t="s">
        <v>248</v>
      </c>
      <c r="H71" s="19" t="s">
        <v>249</v>
      </c>
      <c r="I71" s="26">
        <v>1385566</v>
      </c>
      <c r="J71" s="36"/>
      <c r="K71" s="21"/>
      <c r="L71" s="21"/>
      <c r="M71" s="21"/>
      <c r="N71" s="20">
        <f t="shared" si="0"/>
        <v>1385566</v>
      </c>
      <c r="O71" s="27">
        <v>821823</v>
      </c>
      <c r="P71" s="27"/>
      <c r="Q71" s="27"/>
      <c r="R71" s="27"/>
      <c r="S71" s="27"/>
      <c r="T71" s="22">
        <f t="shared" si="1"/>
        <v>821823</v>
      </c>
      <c r="U71" s="23"/>
      <c r="V71" s="23">
        <f t="shared" si="2"/>
        <v>563743</v>
      </c>
      <c r="W71" s="23">
        <f t="shared" si="3"/>
        <v>1385566</v>
      </c>
      <c r="X71" s="23">
        <f t="shared" si="4"/>
        <v>0</v>
      </c>
      <c r="Y71" s="24">
        <f t="shared" si="5"/>
        <v>1.1641538648399948E-2</v>
      </c>
      <c r="Z71" s="17" t="s">
        <v>42</v>
      </c>
    </row>
    <row r="72" spans="1:27" x14ac:dyDescent="0.25">
      <c r="A72" s="1" t="s">
        <v>25</v>
      </c>
      <c r="B72" s="16">
        <v>63</v>
      </c>
      <c r="C72" s="16" t="s">
        <v>250</v>
      </c>
      <c r="D72" s="17" t="s">
        <v>251</v>
      </c>
      <c r="E72" s="17"/>
      <c r="F72" s="16" t="s">
        <v>100</v>
      </c>
      <c r="G72" s="16">
        <v>805</v>
      </c>
      <c r="H72" s="19" t="s">
        <v>252</v>
      </c>
      <c r="I72" s="26">
        <v>1247501</v>
      </c>
      <c r="J72" s="36"/>
      <c r="K72" s="21">
        <v>0</v>
      </c>
      <c r="L72" s="21">
        <v>0</v>
      </c>
      <c r="M72" s="21">
        <v>0</v>
      </c>
      <c r="N72" s="20">
        <f t="shared" si="0"/>
        <v>1247501</v>
      </c>
      <c r="O72" s="27">
        <f>100000+50000+100000+100000+100000+100000+20000+70000+30000+100000+59703+50000+50000+60000+90000</f>
        <v>1079703</v>
      </c>
      <c r="P72" s="27"/>
      <c r="Q72" s="27"/>
      <c r="R72" s="27"/>
      <c r="S72" s="27"/>
      <c r="T72" s="22">
        <f t="shared" si="1"/>
        <v>1079703</v>
      </c>
      <c r="U72" s="23"/>
      <c r="V72" s="23">
        <f t="shared" si="2"/>
        <v>167798</v>
      </c>
      <c r="W72" s="23">
        <f t="shared" si="3"/>
        <v>1247501</v>
      </c>
      <c r="X72" s="23">
        <f t="shared" si="4"/>
        <v>0</v>
      </c>
      <c r="Y72" s="24">
        <f t="shared" si="5"/>
        <v>1.5294539339119702E-2</v>
      </c>
      <c r="Z72" s="17" t="s">
        <v>47</v>
      </c>
    </row>
    <row r="73" spans="1:27" x14ac:dyDescent="0.25">
      <c r="A73" s="1" t="s">
        <v>25</v>
      </c>
      <c r="B73" s="16">
        <v>64</v>
      </c>
      <c r="C73" s="16" t="s">
        <v>253</v>
      </c>
      <c r="D73" s="33" t="s">
        <v>254</v>
      </c>
      <c r="E73" s="17"/>
      <c r="F73" s="16" t="s">
        <v>173</v>
      </c>
      <c r="G73" s="16">
        <v>609</v>
      </c>
      <c r="H73" s="19" t="s">
        <v>255</v>
      </c>
      <c r="I73" s="26">
        <v>868007</v>
      </c>
      <c r="J73" s="26">
        <v>0</v>
      </c>
      <c r="K73" s="21">
        <v>0</v>
      </c>
      <c r="L73" s="21">
        <v>0</v>
      </c>
      <c r="M73" s="21">
        <v>0</v>
      </c>
      <c r="N73" s="20">
        <f t="shared" si="0"/>
        <v>868007</v>
      </c>
      <c r="O73" s="27">
        <v>868007</v>
      </c>
      <c r="P73" s="27">
        <v>0</v>
      </c>
      <c r="Q73" s="27">
        <v>0</v>
      </c>
      <c r="R73" s="27">
        <v>0</v>
      </c>
      <c r="S73" s="27">
        <v>0</v>
      </c>
      <c r="T73" s="22">
        <f t="shared" si="1"/>
        <v>868007</v>
      </c>
      <c r="U73" s="23"/>
      <c r="V73" s="23">
        <f t="shared" si="2"/>
        <v>0</v>
      </c>
      <c r="W73" s="23">
        <f t="shared" si="3"/>
        <v>868007</v>
      </c>
      <c r="X73" s="23">
        <f t="shared" si="4"/>
        <v>0</v>
      </c>
      <c r="Y73" s="24">
        <f t="shared" si="5"/>
        <v>1.2295758378119978E-2</v>
      </c>
      <c r="Z73" s="17" t="s">
        <v>47</v>
      </c>
    </row>
    <row r="74" spans="1:27" x14ac:dyDescent="0.25">
      <c r="A74" s="1" t="s">
        <v>25</v>
      </c>
      <c r="B74" s="16">
        <v>65</v>
      </c>
      <c r="C74" s="16" t="s">
        <v>256</v>
      </c>
      <c r="D74" s="17" t="s">
        <v>257</v>
      </c>
      <c r="E74" s="17"/>
      <c r="F74" s="16" t="s">
        <v>100</v>
      </c>
      <c r="G74" s="16">
        <v>1207</v>
      </c>
      <c r="H74" s="19" t="s">
        <v>258</v>
      </c>
      <c r="I74" s="26">
        <f>1529813-131300-63116</f>
        <v>1335397</v>
      </c>
      <c r="J74" s="36"/>
      <c r="K74" s="21">
        <f>9593+9593+43930</f>
        <v>63116</v>
      </c>
      <c r="L74" s="21">
        <v>131300</v>
      </c>
      <c r="M74" s="21"/>
      <c r="N74" s="20">
        <f t="shared" si="0"/>
        <v>1529813</v>
      </c>
      <c r="O74" s="27">
        <f>410000+300000+259002+56000+373511-63116</f>
        <v>1335397</v>
      </c>
      <c r="P74" s="27"/>
      <c r="Q74" s="27">
        <v>0</v>
      </c>
      <c r="R74" s="27">
        <v>0</v>
      </c>
      <c r="S74" s="27"/>
      <c r="T74" s="22">
        <f t="shared" si="1"/>
        <v>1335397</v>
      </c>
      <c r="U74" s="23"/>
      <c r="V74" s="23">
        <f t="shared" si="2"/>
        <v>194416</v>
      </c>
      <c r="W74" s="23">
        <f t="shared" si="3"/>
        <v>1529813</v>
      </c>
      <c r="X74" s="23">
        <f t="shared" si="4"/>
        <v>0</v>
      </c>
      <c r="Y74" s="24">
        <f t="shared" si="5"/>
        <v>1.8916574233694295E-2</v>
      </c>
      <c r="Z74" s="17" t="s">
        <v>55</v>
      </c>
    </row>
    <row r="75" spans="1:27" x14ac:dyDescent="0.25">
      <c r="A75" s="1" t="s">
        <v>25</v>
      </c>
      <c r="B75" s="16">
        <v>66</v>
      </c>
      <c r="C75" s="16" t="s">
        <v>259</v>
      </c>
      <c r="D75" s="17" t="s">
        <v>257</v>
      </c>
      <c r="E75" s="17"/>
      <c r="F75" s="16" t="s">
        <v>100</v>
      </c>
      <c r="G75" s="16">
        <v>1208</v>
      </c>
      <c r="H75" s="19" t="s">
        <v>258</v>
      </c>
      <c r="I75" s="26">
        <f>940765-131300-46073</f>
        <v>763392</v>
      </c>
      <c r="J75" s="36"/>
      <c r="K75" s="21">
        <v>46073</v>
      </c>
      <c r="L75" s="21">
        <v>131300</v>
      </c>
      <c r="M75" s="21"/>
      <c r="N75" s="20">
        <f t="shared" ref="N75:N138" si="6">SUM(I75:M75)</f>
        <v>940765</v>
      </c>
      <c r="O75" s="27">
        <f>210000+220000+379465-46073</f>
        <v>763392</v>
      </c>
      <c r="P75" s="27"/>
      <c r="Q75" s="27">
        <v>0</v>
      </c>
      <c r="R75" s="27">
        <v>0</v>
      </c>
      <c r="S75" s="27"/>
      <c r="T75" s="22">
        <f t="shared" ref="T75:T138" si="7">SUM(O75:S75)</f>
        <v>763392</v>
      </c>
      <c r="U75" s="23"/>
      <c r="V75" s="23">
        <f t="shared" ref="V75:V138" si="8">+(I75-O75)+(J75-P75)+K75+L75+M75-U75</f>
        <v>177373</v>
      </c>
      <c r="W75" s="23">
        <f t="shared" ref="W75:W138" si="9">+T75+V75+U75</f>
        <v>940765</v>
      </c>
      <c r="X75" s="23">
        <f t="shared" ref="X75:X138" si="10">+W75-N75</f>
        <v>0</v>
      </c>
      <c r="Y75" s="24">
        <f t="shared" ref="Y75:Y138" si="11">+T75*$Y$196/$T$196</f>
        <v>1.0813833966534564E-2</v>
      </c>
      <c r="Z75" s="17" t="s">
        <v>55</v>
      </c>
    </row>
    <row r="76" spans="1:27" x14ac:dyDescent="0.25">
      <c r="A76" s="1" t="s">
        <v>25</v>
      </c>
      <c r="B76" s="16">
        <v>67</v>
      </c>
      <c r="C76" s="16" t="s">
        <v>260</v>
      </c>
      <c r="D76" s="17" t="s">
        <v>261</v>
      </c>
      <c r="E76" s="17"/>
      <c r="F76" s="16" t="s">
        <v>173</v>
      </c>
      <c r="G76" s="16">
        <v>713</v>
      </c>
      <c r="H76" s="19" t="s">
        <v>262</v>
      </c>
      <c r="I76" s="26">
        <f>925407-68500</f>
        <v>856907</v>
      </c>
      <c r="J76" s="36"/>
      <c r="K76" s="21"/>
      <c r="L76" s="21">
        <v>68500</v>
      </c>
      <c r="M76" s="21"/>
      <c r="N76" s="20">
        <f t="shared" si="6"/>
        <v>925407</v>
      </c>
      <c r="O76" s="27">
        <f>130156+100000+4881+112201+109553</f>
        <v>456791</v>
      </c>
      <c r="P76" s="27"/>
      <c r="Q76" s="27"/>
      <c r="R76" s="27">
        <v>0</v>
      </c>
      <c r="S76" s="27"/>
      <c r="T76" s="22">
        <f t="shared" si="7"/>
        <v>456791</v>
      </c>
      <c r="U76" s="23"/>
      <c r="V76" s="23">
        <f t="shared" si="8"/>
        <v>468616</v>
      </c>
      <c r="W76" s="23">
        <f t="shared" si="9"/>
        <v>925407</v>
      </c>
      <c r="X76" s="23">
        <f t="shared" si="10"/>
        <v>0</v>
      </c>
      <c r="Y76" s="24">
        <f t="shared" si="11"/>
        <v>6.4706756573389423E-3</v>
      </c>
      <c r="Z76" s="17" t="s">
        <v>47</v>
      </c>
    </row>
    <row r="77" spans="1:27" ht="47.25" x14ac:dyDescent="0.25">
      <c r="A77" s="1" t="s">
        <v>25</v>
      </c>
      <c r="B77" s="16">
        <v>68</v>
      </c>
      <c r="C77" s="16" t="s">
        <v>263</v>
      </c>
      <c r="D77" s="17" t="s">
        <v>264</v>
      </c>
      <c r="E77" s="17"/>
      <c r="F77" s="16" t="s">
        <v>265</v>
      </c>
      <c r="G77" s="16">
        <v>207</v>
      </c>
      <c r="H77" s="28" t="s">
        <v>266</v>
      </c>
      <c r="I77" s="26">
        <v>315818</v>
      </c>
      <c r="J77" s="36"/>
      <c r="K77" s="21"/>
      <c r="L77" s="21"/>
      <c r="M77" s="21"/>
      <c r="N77" s="20">
        <f t="shared" si="6"/>
        <v>315818</v>
      </c>
      <c r="O77" s="27">
        <f>105000+5000+14000+14000+5909+5909+3000+140000</f>
        <v>292818</v>
      </c>
      <c r="P77" s="27"/>
      <c r="Q77" s="27"/>
      <c r="R77" s="27"/>
      <c r="S77" s="27"/>
      <c r="T77" s="22">
        <f t="shared" si="7"/>
        <v>292818</v>
      </c>
      <c r="U77" s="23"/>
      <c r="V77" s="23">
        <f t="shared" si="8"/>
        <v>23000</v>
      </c>
      <c r="W77" s="23">
        <f t="shared" si="9"/>
        <v>315818</v>
      </c>
      <c r="X77" s="23">
        <f t="shared" si="10"/>
        <v>0</v>
      </c>
      <c r="Y77" s="24">
        <f t="shared" si="11"/>
        <v>4.1479151398137754E-3</v>
      </c>
      <c r="Z77" s="18" t="s">
        <v>64</v>
      </c>
    </row>
    <row r="78" spans="1:27" x14ac:dyDescent="0.25">
      <c r="A78" s="1" t="s">
        <v>25</v>
      </c>
      <c r="B78" s="16">
        <v>69</v>
      </c>
      <c r="C78" s="16" t="s">
        <v>267</v>
      </c>
      <c r="D78" s="17" t="s">
        <v>268</v>
      </c>
      <c r="E78" s="17"/>
      <c r="F78" s="16" t="s">
        <v>269</v>
      </c>
      <c r="G78" s="16">
        <v>309</v>
      </c>
      <c r="H78" s="19" t="s">
        <v>270</v>
      </c>
      <c r="I78" s="26">
        <f>464827-30540</f>
        <v>434287</v>
      </c>
      <c r="J78" s="36"/>
      <c r="K78" s="21"/>
      <c r="L78" s="21">
        <v>30540</v>
      </c>
      <c r="M78" s="21"/>
      <c r="N78" s="20">
        <f t="shared" si="6"/>
        <v>464827</v>
      </c>
      <c r="O78" s="27">
        <f>64750+5000+93000+93000+50000+43000+3980+69750+1797+5090+5000</f>
        <v>434367</v>
      </c>
      <c r="P78" s="27">
        <v>0</v>
      </c>
      <c r="Q78" s="27">
        <v>0</v>
      </c>
      <c r="R78" s="27">
        <v>0</v>
      </c>
      <c r="S78" s="27">
        <v>0</v>
      </c>
      <c r="T78" s="22">
        <f t="shared" si="7"/>
        <v>434367</v>
      </c>
      <c r="U78" s="23"/>
      <c r="V78" s="23">
        <f t="shared" si="8"/>
        <v>30460</v>
      </c>
      <c r="W78" s="23">
        <f t="shared" si="9"/>
        <v>464827</v>
      </c>
      <c r="X78" s="23">
        <f t="shared" si="10"/>
        <v>0</v>
      </c>
      <c r="Y78" s="24">
        <f t="shared" si="11"/>
        <v>6.1530283504958377E-3</v>
      </c>
      <c r="Z78" s="17"/>
      <c r="AA78" s="37"/>
    </row>
    <row r="79" spans="1:27" x14ac:dyDescent="0.25">
      <c r="A79" s="1" t="s">
        <v>25</v>
      </c>
      <c r="B79" s="16">
        <v>70</v>
      </c>
      <c r="C79" s="16" t="s">
        <v>271</v>
      </c>
      <c r="D79" s="17" t="s">
        <v>261</v>
      </c>
      <c r="E79" s="17"/>
      <c r="F79" s="16" t="s">
        <v>173</v>
      </c>
      <c r="G79" s="16">
        <v>714</v>
      </c>
      <c r="H79" s="19" t="s">
        <v>262</v>
      </c>
      <c r="I79" s="26">
        <f>925407-68500</f>
        <v>856907</v>
      </c>
      <c r="J79" s="36"/>
      <c r="K79" s="21"/>
      <c r="L79" s="21">
        <v>68500</v>
      </c>
      <c r="M79" s="21"/>
      <c r="N79" s="20">
        <f t="shared" si="6"/>
        <v>925407</v>
      </c>
      <c r="O79" s="27">
        <f>109553+153324+112201+4881</f>
        <v>379959</v>
      </c>
      <c r="P79" s="27"/>
      <c r="Q79" s="27"/>
      <c r="R79" s="27">
        <v>0</v>
      </c>
      <c r="S79" s="27"/>
      <c r="T79" s="22">
        <f t="shared" si="7"/>
        <v>379959</v>
      </c>
      <c r="U79" s="23"/>
      <c r="V79" s="23">
        <f t="shared" si="8"/>
        <v>545448</v>
      </c>
      <c r="W79" s="23">
        <f t="shared" si="9"/>
        <v>925407</v>
      </c>
      <c r="X79" s="23">
        <f t="shared" si="10"/>
        <v>0</v>
      </c>
      <c r="Y79" s="24">
        <f t="shared" si="11"/>
        <v>5.382311499322113E-3</v>
      </c>
      <c r="Z79" s="17" t="s">
        <v>47</v>
      </c>
    </row>
    <row r="80" spans="1:27" x14ac:dyDescent="0.25">
      <c r="A80" s="1" t="s">
        <v>25</v>
      </c>
      <c r="B80" s="16">
        <v>71</v>
      </c>
      <c r="C80" s="16" t="s">
        <v>272</v>
      </c>
      <c r="D80" s="17" t="s">
        <v>273</v>
      </c>
      <c r="E80" s="17"/>
      <c r="F80" s="16" t="s">
        <v>78</v>
      </c>
      <c r="G80" s="16">
        <v>14</v>
      </c>
      <c r="H80" s="19" t="s">
        <v>274</v>
      </c>
      <c r="I80" s="26">
        <v>974988</v>
      </c>
      <c r="J80" s="36"/>
      <c r="K80" s="21"/>
      <c r="L80" s="21"/>
      <c r="M80" s="21"/>
      <c r="N80" s="20">
        <f t="shared" si="6"/>
        <v>974988</v>
      </c>
      <c r="O80" s="27">
        <f>50000+23400+600000+301588</f>
        <v>974988</v>
      </c>
      <c r="P80" s="27"/>
      <c r="Q80" s="27"/>
      <c r="R80" s="27"/>
      <c r="S80" s="27"/>
      <c r="T80" s="22">
        <f t="shared" si="7"/>
        <v>974988</v>
      </c>
      <c r="U80" s="23"/>
      <c r="V80" s="23">
        <f t="shared" si="8"/>
        <v>0</v>
      </c>
      <c r="W80" s="23">
        <f t="shared" si="9"/>
        <v>974988</v>
      </c>
      <c r="X80" s="23">
        <f t="shared" si="10"/>
        <v>0</v>
      </c>
      <c r="Y80" s="24">
        <f t="shared" si="11"/>
        <v>1.3811198376932952E-2</v>
      </c>
      <c r="Z80" s="17"/>
    </row>
    <row r="81" spans="1:26" x14ac:dyDescent="0.25">
      <c r="A81" s="1" t="s">
        <v>74</v>
      </c>
      <c r="B81" s="16">
        <v>72</v>
      </c>
      <c r="C81" s="16" t="s">
        <v>275</v>
      </c>
      <c r="D81" s="17" t="s">
        <v>276</v>
      </c>
      <c r="E81" s="17"/>
      <c r="F81" s="17"/>
      <c r="G81" s="17"/>
      <c r="H81" s="19" t="s">
        <v>277</v>
      </c>
      <c r="I81" s="26">
        <f>2780899-255000</f>
        <v>2525899</v>
      </c>
      <c r="J81" s="21">
        <f>636860+78619</f>
        <v>715479</v>
      </c>
      <c r="K81" s="36"/>
      <c r="L81" s="26">
        <v>255000</v>
      </c>
      <c r="M81" s="36"/>
      <c r="N81" s="26">
        <f t="shared" si="6"/>
        <v>3496378</v>
      </c>
      <c r="O81" s="22">
        <v>358696</v>
      </c>
      <c r="P81" s="22"/>
      <c r="Q81" s="22"/>
      <c r="R81" s="22">
        <v>0</v>
      </c>
      <c r="S81" s="22"/>
      <c r="T81" s="22">
        <f t="shared" si="7"/>
        <v>358696</v>
      </c>
      <c r="U81" s="23">
        <f>+J81</f>
        <v>715479</v>
      </c>
      <c r="V81" s="23">
        <f t="shared" si="8"/>
        <v>2422203</v>
      </c>
      <c r="W81" s="23">
        <f t="shared" si="9"/>
        <v>3496378</v>
      </c>
      <c r="X81" s="23">
        <f t="shared" si="10"/>
        <v>0</v>
      </c>
      <c r="Y81" s="24">
        <f t="shared" si="11"/>
        <v>5.0811103449604949E-3</v>
      </c>
      <c r="Z81" s="17" t="s">
        <v>47</v>
      </c>
    </row>
    <row r="82" spans="1:26" x14ac:dyDescent="0.25">
      <c r="A82" s="1" t="s">
        <v>74</v>
      </c>
      <c r="B82" s="16">
        <v>73</v>
      </c>
      <c r="C82" s="16" t="s">
        <v>278</v>
      </c>
      <c r="D82" s="17" t="s">
        <v>273</v>
      </c>
      <c r="E82" s="17"/>
      <c r="F82" s="17"/>
      <c r="G82" s="17"/>
      <c r="H82" s="19" t="s">
        <v>274</v>
      </c>
      <c r="I82" s="26">
        <v>1392905</v>
      </c>
      <c r="J82" s="21"/>
      <c r="K82" s="36"/>
      <c r="L82" s="36"/>
      <c r="M82" s="36"/>
      <c r="N82" s="26">
        <f t="shared" si="6"/>
        <v>1392905</v>
      </c>
      <c r="O82" s="22">
        <v>1304785</v>
      </c>
      <c r="P82" s="22"/>
      <c r="Q82" s="22"/>
      <c r="R82" s="22">
        <v>0</v>
      </c>
      <c r="S82" s="22"/>
      <c r="T82" s="22">
        <f t="shared" si="7"/>
        <v>1304785</v>
      </c>
      <c r="U82" s="23"/>
      <c r="V82" s="23">
        <f t="shared" si="8"/>
        <v>88120</v>
      </c>
      <c r="W82" s="23">
        <f t="shared" si="9"/>
        <v>1392905</v>
      </c>
      <c r="X82" s="23">
        <f t="shared" si="10"/>
        <v>0</v>
      </c>
      <c r="Y82" s="24">
        <f t="shared" si="11"/>
        <v>1.8482939763613974E-2</v>
      </c>
      <c r="Z82" s="17"/>
    </row>
    <row r="83" spans="1:26" x14ac:dyDescent="0.25">
      <c r="A83" s="1" t="s">
        <v>74</v>
      </c>
      <c r="B83" s="16">
        <v>74</v>
      </c>
      <c r="C83" s="16" t="s">
        <v>279</v>
      </c>
      <c r="D83" s="17" t="s">
        <v>280</v>
      </c>
      <c r="E83" s="17"/>
      <c r="F83" s="16" t="s">
        <v>163</v>
      </c>
      <c r="G83" s="16">
        <v>901</v>
      </c>
      <c r="H83" s="19" t="s">
        <v>281</v>
      </c>
      <c r="I83" s="26">
        <v>787332</v>
      </c>
      <c r="J83" s="36"/>
      <c r="K83" s="36"/>
      <c r="L83" s="36"/>
      <c r="M83" s="36"/>
      <c r="N83" s="26">
        <f t="shared" si="6"/>
        <v>787332</v>
      </c>
      <c r="O83" s="22">
        <v>785332</v>
      </c>
      <c r="P83" s="22"/>
      <c r="Q83" s="22"/>
      <c r="R83" s="22">
        <v>0</v>
      </c>
      <c r="S83" s="22"/>
      <c r="T83" s="22">
        <f t="shared" si="7"/>
        <v>785332</v>
      </c>
      <c r="U83" s="23"/>
      <c r="V83" s="23">
        <f t="shared" si="8"/>
        <v>2000</v>
      </c>
      <c r="W83" s="23">
        <f t="shared" si="9"/>
        <v>787332</v>
      </c>
      <c r="X83" s="23">
        <f t="shared" si="10"/>
        <v>0</v>
      </c>
      <c r="Y83" s="24">
        <f t="shared" si="11"/>
        <v>1.1124625168467212E-2</v>
      </c>
      <c r="Z83" s="17" t="s">
        <v>47</v>
      </c>
    </row>
    <row r="84" spans="1:26" x14ac:dyDescent="0.25">
      <c r="A84" s="1" t="s">
        <v>74</v>
      </c>
      <c r="B84" s="16">
        <v>75</v>
      </c>
      <c r="C84" s="16" t="s">
        <v>282</v>
      </c>
      <c r="D84" s="17" t="s">
        <v>283</v>
      </c>
      <c r="E84" s="17"/>
      <c r="F84" s="16"/>
      <c r="G84" s="16">
        <v>702</v>
      </c>
      <c r="H84" s="19" t="s">
        <v>284</v>
      </c>
      <c r="I84" s="26">
        <f>2388587-J84-L84-M84</f>
        <v>1639313</v>
      </c>
      <c r="J84" s="26">
        <f>778100-235068</f>
        <v>543032</v>
      </c>
      <c r="K84" s="26"/>
      <c r="L84" s="26">
        <f>135500+22600</f>
        <v>158100</v>
      </c>
      <c r="M84" s="26">
        <v>48142</v>
      </c>
      <c r="N84" s="26">
        <f t="shared" si="6"/>
        <v>2388587</v>
      </c>
      <c r="O84" s="22">
        <v>1622953</v>
      </c>
      <c r="P84" s="22"/>
      <c r="Q84" s="22"/>
      <c r="R84" s="22">
        <v>0</v>
      </c>
      <c r="S84" s="22"/>
      <c r="T84" s="22">
        <f t="shared" si="7"/>
        <v>1622953</v>
      </c>
      <c r="U84" s="23">
        <f>+J84</f>
        <v>543032</v>
      </c>
      <c r="V84" s="23">
        <f t="shared" si="8"/>
        <v>222602</v>
      </c>
      <c r="W84" s="23">
        <f t="shared" si="9"/>
        <v>2388587</v>
      </c>
      <c r="X84" s="23">
        <f t="shared" si="10"/>
        <v>0</v>
      </c>
      <c r="Y84" s="24">
        <f t="shared" si="11"/>
        <v>2.2989950480865884E-2</v>
      </c>
      <c r="Z84" s="17" t="s">
        <v>47</v>
      </c>
    </row>
    <row r="85" spans="1:26" x14ac:dyDescent="0.25">
      <c r="A85" s="1" t="s">
        <v>74</v>
      </c>
      <c r="B85" s="16">
        <v>76</v>
      </c>
      <c r="C85" s="16" t="s">
        <v>285</v>
      </c>
      <c r="D85" s="17" t="s">
        <v>286</v>
      </c>
      <c r="E85" s="17"/>
      <c r="F85" s="16" t="s">
        <v>287</v>
      </c>
      <c r="G85" s="16">
        <v>115</v>
      </c>
      <c r="H85" s="19" t="s">
        <v>288</v>
      </c>
      <c r="I85" s="26">
        <v>5119125</v>
      </c>
      <c r="J85" s="26">
        <v>884580</v>
      </c>
      <c r="K85" s="26">
        <v>614295</v>
      </c>
      <c r="L85" s="26"/>
      <c r="M85" s="26">
        <v>1842876</v>
      </c>
      <c r="N85" s="26">
        <f t="shared" si="6"/>
        <v>8460876</v>
      </c>
      <c r="O85" s="22">
        <v>4554049</v>
      </c>
      <c r="P85" s="22">
        <f>+J85/12%*8%</f>
        <v>589720</v>
      </c>
      <c r="Q85" s="22"/>
      <c r="R85" s="22"/>
      <c r="S85" s="22"/>
      <c r="T85" s="22">
        <f t="shared" si="7"/>
        <v>5143769</v>
      </c>
      <c r="U85" s="23"/>
      <c r="V85" s="23">
        <f t="shared" si="8"/>
        <v>3317107</v>
      </c>
      <c r="W85" s="23">
        <f t="shared" si="9"/>
        <v>8460876</v>
      </c>
      <c r="X85" s="23">
        <f t="shared" si="10"/>
        <v>0</v>
      </c>
      <c r="Y85" s="24">
        <f t="shared" si="11"/>
        <v>7.2864090700724568E-2</v>
      </c>
      <c r="Z85" s="17" t="s">
        <v>47</v>
      </c>
    </row>
    <row r="86" spans="1:26" x14ac:dyDescent="0.25">
      <c r="A86" s="1" t="s">
        <v>74</v>
      </c>
      <c r="B86" s="16">
        <v>77</v>
      </c>
      <c r="C86" s="16" t="s">
        <v>289</v>
      </c>
      <c r="D86" s="17" t="s">
        <v>290</v>
      </c>
      <c r="E86" s="17"/>
      <c r="F86" s="16" t="s">
        <v>287</v>
      </c>
      <c r="G86" s="16">
        <v>114</v>
      </c>
      <c r="H86" s="19" t="s">
        <v>221</v>
      </c>
      <c r="I86" s="26">
        <v>5119125</v>
      </c>
      <c r="J86" s="26">
        <v>884580</v>
      </c>
      <c r="K86" s="26">
        <v>614295</v>
      </c>
      <c r="L86" s="26"/>
      <c r="M86" s="26">
        <v>1842876</v>
      </c>
      <c r="N86" s="26">
        <f t="shared" si="6"/>
        <v>8460876</v>
      </c>
      <c r="O86" s="22">
        <v>6150468</v>
      </c>
      <c r="P86" s="22">
        <f>+J86/12%*8%</f>
        <v>589720</v>
      </c>
      <c r="Q86" s="22"/>
      <c r="R86" s="22"/>
      <c r="S86" s="22"/>
      <c r="T86" s="22">
        <f t="shared" si="7"/>
        <v>6740188</v>
      </c>
      <c r="U86" s="23"/>
      <c r="V86" s="23">
        <f t="shared" si="8"/>
        <v>1720688</v>
      </c>
      <c r="W86" s="23">
        <f t="shared" si="9"/>
        <v>8460876</v>
      </c>
      <c r="X86" s="23">
        <f t="shared" si="10"/>
        <v>0</v>
      </c>
      <c r="Y86" s="24">
        <f t="shared" si="11"/>
        <v>9.5478173645032513E-2</v>
      </c>
      <c r="Z86" s="17" t="s">
        <v>47</v>
      </c>
    </row>
    <row r="87" spans="1:26" x14ac:dyDescent="0.25">
      <c r="A87" s="1" t="s">
        <v>74</v>
      </c>
      <c r="B87" s="16">
        <v>78</v>
      </c>
      <c r="C87" s="16" t="s">
        <v>291</v>
      </c>
      <c r="D87" s="17" t="s">
        <v>292</v>
      </c>
      <c r="E87" s="17"/>
      <c r="F87" s="16" t="s">
        <v>163</v>
      </c>
      <c r="G87" s="16">
        <v>123</v>
      </c>
      <c r="H87" s="19" t="s">
        <v>221</v>
      </c>
      <c r="I87" s="26">
        <v>4235550</v>
      </c>
      <c r="J87" s="26">
        <v>731912</v>
      </c>
      <c r="K87" s="26">
        <v>508266</v>
      </c>
      <c r="L87" s="26"/>
      <c r="M87" s="26">
        <v>1524816</v>
      </c>
      <c r="N87" s="26">
        <f t="shared" si="6"/>
        <v>7000544</v>
      </c>
      <c r="O87" s="22">
        <v>5435550</v>
      </c>
      <c r="P87" s="22">
        <f>+J87/12%*8%</f>
        <v>487941.33333333337</v>
      </c>
      <c r="Q87" s="22"/>
      <c r="R87" s="22"/>
      <c r="S87" s="22"/>
      <c r="T87" s="22">
        <f t="shared" si="7"/>
        <v>5923491.333333333</v>
      </c>
      <c r="U87" s="23"/>
      <c r="V87" s="23">
        <f t="shared" si="8"/>
        <v>1077052.6666666665</v>
      </c>
      <c r="W87" s="23">
        <f t="shared" si="9"/>
        <v>7000544</v>
      </c>
      <c r="X87" s="23">
        <f t="shared" si="10"/>
        <v>0</v>
      </c>
      <c r="Y87" s="24">
        <f t="shared" si="11"/>
        <v>8.3909252102292275E-2</v>
      </c>
      <c r="Z87" s="17" t="s">
        <v>47</v>
      </c>
    </row>
    <row r="88" spans="1:26" x14ac:dyDescent="0.25">
      <c r="A88" s="1" t="s">
        <v>74</v>
      </c>
      <c r="B88" s="16">
        <v>79</v>
      </c>
      <c r="C88" s="16" t="s">
        <v>293</v>
      </c>
      <c r="D88" s="17" t="s">
        <v>294</v>
      </c>
      <c r="E88" s="17"/>
      <c r="F88" s="16"/>
      <c r="G88" s="16"/>
      <c r="H88" s="19" t="s">
        <v>295</v>
      </c>
      <c r="I88" s="26">
        <f>1366882-L88</f>
        <v>1210182</v>
      </c>
      <c r="J88" s="26"/>
      <c r="K88" s="26"/>
      <c r="L88" s="26">
        <f>134300+22400</f>
        <v>156700</v>
      </c>
      <c r="M88" s="26"/>
      <c r="N88" s="26">
        <f t="shared" si="6"/>
        <v>1366882</v>
      </c>
      <c r="O88" s="22">
        <v>1210182</v>
      </c>
      <c r="P88" s="22"/>
      <c r="Q88" s="22"/>
      <c r="R88" s="22">
        <v>0</v>
      </c>
      <c r="S88" s="22"/>
      <c r="T88" s="22">
        <f t="shared" si="7"/>
        <v>1210182</v>
      </c>
      <c r="U88" s="23"/>
      <c r="V88" s="23">
        <f t="shared" si="8"/>
        <v>156700</v>
      </c>
      <c r="W88" s="23">
        <f t="shared" si="9"/>
        <v>1366882</v>
      </c>
      <c r="X88" s="23">
        <f t="shared" si="10"/>
        <v>0</v>
      </c>
      <c r="Y88" s="24">
        <f t="shared" si="11"/>
        <v>1.7142840398234105E-2</v>
      </c>
      <c r="Z88" s="17" t="s">
        <v>47</v>
      </c>
    </row>
    <row r="89" spans="1:26" x14ac:dyDescent="0.25">
      <c r="A89" s="1" t="s">
        <v>74</v>
      </c>
      <c r="B89" s="16">
        <v>80</v>
      </c>
      <c r="C89" s="16" t="s">
        <v>296</v>
      </c>
      <c r="D89" s="17" t="s">
        <v>297</v>
      </c>
      <c r="E89" s="17"/>
      <c r="F89" s="16" t="s">
        <v>298</v>
      </c>
      <c r="G89" s="16">
        <v>108</v>
      </c>
      <c r="H89" s="19" t="s">
        <v>221</v>
      </c>
      <c r="I89" s="26">
        <v>2182757</v>
      </c>
      <c r="J89" s="26">
        <v>377188</v>
      </c>
      <c r="K89" s="26">
        <v>261931</v>
      </c>
      <c r="L89" s="26"/>
      <c r="M89" s="26">
        <v>785808</v>
      </c>
      <c r="N89" s="26">
        <f t="shared" si="6"/>
        <v>3607684</v>
      </c>
      <c r="O89" s="22">
        <v>0</v>
      </c>
      <c r="P89" s="22">
        <f>+J89/12%*8%</f>
        <v>251458.66666666669</v>
      </c>
      <c r="Q89" s="22"/>
      <c r="R89" s="22"/>
      <c r="S89" s="22"/>
      <c r="T89" s="22">
        <f t="shared" si="7"/>
        <v>251458.66666666669</v>
      </c>
      <c r="U89" s="23">
        <f>+I89</f>
        <v>2182757</v>
      </c>
      <c r="V89" s="23">
        <f t="shared" si="8"/>
        <v>1173468.3333333335</v>
      </c>
      <c r="W89" s="23">
        <f t="shared" si="9"/>
        <v>3607684</v>
      </c>
      <c r="X89" s="23">
        <f t="shared" si="10"/>
        <v>0</v>
      </c>
      <c r="Y89" s="24">
        <f t="shared" si="11"/>
        <v>3.5620392547727675E-3</v>
      </c>
      <c r="Z89" s="17" t="s">
        <v>47</v>
      </c>
    </row>
    <row r="90" spans="1:26" x14ac:dyDescent="0.25">
      <c r="A90" s="1" t="s">
        <v>74</v>
      </c>
      <c r="B90" s="16">
        <v>81</v>
      </c>
      <c r="C90" s="16" t="s">
        <v>299</v>
      </c>
      <c r="D90" s="17" t="s">
        <v>300</v>
      </c>
      <c r="E90" s="17"/>
      <c r="F90" s="16" t="s">
        <v>301</v>
      </c>
      <c r="G90" s="16">
        <v>110</v>
      </c>
      <c r="H90" s="19" t="s">
        <v>302</v>
      </c>
      <c r="I90" s="26">
        <v>2131800</v>
      </c>
      <c r="J90" s="26">
        <v>245583</v>
      </c>
      <c r="K90" s="26">
        <v>255816</v>
      </c>
      <c r="L90" s="26"/>
      <c r="M90" s="26">
        <v>511632</v>
      </c>
      <c r="N90" s="26">
        <f t="shared" si="6"/>
        <v>3144831</v>
      </c>
      <c r="O90" s="22">
        <v>1907959</v>
      </c>
      <c r="P90" s="22">
        <f>+J90/12%*8%</f>
        <v>163722</v>
      </c>
      <c r="Q90" s="22"/>
      <c r="R90" s="22"/>
      <c r="S90" s="22"/>
      <c r="T90" s="22">
        <f t="shared" si="7"/>
        <v>2071681</v>
      </c>
      <c r="U90" s="23"/>
      <c r="V90" s="23">
        <f t="shared" si="8"/>
        <v>1073150</v>
      </c>
      <c r="W90" s="23">
        <f t="shared" si="9"/>
        <v>3144831</v>
      </c>
      <c r="X90" s="23">
        <f t="shared" si="10"/>
        <v>0</v>
      </c>
      <c r="Y90" s="24">
        <f t="shared" si="11"/>
        <v>2.9346409663219275E-2</v>
      </c>
      <c r="Z90" s="17" t="s">
        <v>47</v>
      </c>
    </row>
    <row r="91" spans="1:26" x14ac:dyDescent="0.25">
      <c r="A91" s="1" t="s">
        <v>74</v>
      </c>
      <c r="B91" s="16">
        <v>82</v>
      </c>
      <c r="C91" s="16" t="s">
        <v>303</v>
      </c>
      <c r="D91" s="17" t="s">
        <v>304</v>
      </c>
      <c r="E91" s="17"/>
      <c r="F91" s="16"/>
      <c r="G91" s="16"/>
      <c r="H91" s="19" t="s">
        <v>305</v>
      </c>
      <c r="I91" s="26">
        <v>1519200</v>
      </c>
      <c r="J91" s="26">
        <v>3097170</v>
      </c>
      <c r="K91" s="26"/>
      <c r="L91" s="26"/>
      <c r="M91" s="26"/>
      <c r="N91" s="26">
        <f t="shared" si="6"/>
        <v>4616370</v>
      </c>
      <c r="O91" s="22">
        <v>1519200</v>
      </c>
      <c r="P91" s="22"/>
      <c r="Q91" s="22"/>
      <c r="R91" s="22"/>
      <c r="S91" s="22"/>
      <c r="T91" s="22">
        <f t="shared" si="7"/>
        <v>1519200</v>
      </c>
      <c r="U91" s="23">
        <f>+J91</f>
        <v>3097170</v>
      </c>
      <c r="V91" s="23">
        <f t="shared" si="8"/>
        <v>0</v>
      </c>
      <c r="W91" s="23">
        <f t="shared" si="9"/>
        <v>4616370</v>
      </c>
      <c r="X91" s="23">
        <f t="shared" si="10"/>
        <v>0</v>
      </c>
      <c r="Y91" s="24">
        <f t="shared" si="11"/>
        <v>2.1520236735463966E-2</v>
      </c>
      <c r="Z91" s="17" t="s">
        <v>42</v>
      </c>
    </row>
    <row r="92" spans="1:26" ht="47.25" x14ac:dyDescent="0.25">
      <c r="A92" s="1" t="s">
        <v>74</v>
      </c>
      <c r="B92" s="16">
        <v>83</v>
      </c>
      <c r="C92" s="16" t="s">
        <v>306</v>
      </c>
      <c r="D92" s="17" t="s">
        <v>307</v>
      </c>
      <c r="E92" s="17"/>
      <c r="F92" s="16" t="s">
        <v>155</v>
      </c>
      <c r="G92" s="16">
        <v>608</v>
      </c>
      <c r="H92" s="19" t="s">
        <v>308</v>
      </c>
      <c r="I92" s="26">
        <f>1028908+1000</f>
        <v>1029908</v>
      </c>
      <c r="J92" s="26">
        <v>584874</v>
      </c>
      <c r="K92" s="26"/>
      <c r="L92" s="26"/>
      <c r="M92" s="26"/>
      <c r="N92" s="26">
        <f t="shared" si="6"/>
        <v>1614782</v>
      </c>
      <c r="O92" s="22">
        <v>1028908</v>
      </c>
      <c r="P92" s="22">
        <f>+J92/12.02%*8%</f>
        <v>389267.22129783692</v>
      </c>
      <c r="Q92" s="22"/>
      <c r="R92" s="22"/>
      <c r="S92" s="22"/>
      <c r="T92" s="22">
        <f t="shared" si="7"/>
        <v>1418175.2212978369</v>
      </c>
      <c r="U92" s="23"/>
      <c r="V92" s="23">
        <f t="shared" si="8"/>
        <v>196606.77870216308</v>
      </c>
      <c r="W92" s="23">
        <f t="shared" si="9"/>
        <v>1614782</v>
      </c>
      <c r="X92" s="23">
        <f t="shared" si="10"/>
        <v>0</v>
      </c>
      <c r="Y92" s="24">
        <f t="shared" si="11"/>
        <v>2.0089169625262276E-2</v>
      </c>
      <c r="Z92" s="18" t="s">
        <v>64</v>
      </c>
    </row>
    <row r="93" spans="1:26" x14ac:dyDescent="0.25">
      <c r="A93" s="1" t="s">
        <v>74</v>
      </c>
      <c r="B93" s="16">
        <v>84</v>
      </c>
      <c r="C93" s="16" t="s">
        <v>309</v>
      </c>
      <c r="D93" s="17" t="s">
        <v>310</v>
      </c>
      <c r="E93" s="17"/>
      <c r="F93" s="16"/>
      <c r="G93" s="16"/>
      <c r="H93" s="19" t="s">
        <v>311</v>
      </c>
      <c r="I93" s="26">
        <v>1379440</v>
      </c>
      <c r="J93" s="26">
        <v>2811451</v>
      </c>
      <c r="K93" s="26"/>
      <c r="L93" s="26"/>
      <c r="M93" s="26"/>
      <c r="N93" s="26">
        <f t="shared" si="6"/>
        <v>4190891</v>
      </c>
      <c r="O93" s="22">
        <v>1379440</v>
      </c>
      <c r="P93" s="22"/>
      <c r="Q93" s="22"/>
      <c r="R93" s="22"/>
      <c r="S93" s="22"/>
      <c r="T93" s="22">
        <f t="shared" si="7"/>
        <v>1379440</v>
      </c>
      <c r="U93" s="23">
        <v>2788146</v>
      </c>
      <c r="V93" s="23">
        <f t="shared" si="8"/>
        <v>23305</v>
      </c>
      <c r="W93" s="23">
        <f t="shared" si="9"/>
        <v>4190891</v>
      </c>
      <c r="X93" s="23">
        <f t="shared" si="10"/>
        <v>0</v>
      </c>
      <c r="Y93" s="24">
        <f t="shared" si="11"/>
        <v>1.9540465615039766E-2</v>
      </c>
      <c r="Z93" s="17" t="s">
        <v>42</v>
      </c>
    </row>
    <row r="94" spans="1:26" x14ac:dyDescent="0.25">
      <c r="A94" s="1" t="s">
        <v>74</v>
      </c>
      <c r="B94" s="16">
        <v>85</v>
      </c>
      <c r="C94" s="16" t="s">
        <v>312</v>
      </c>
      <c r="D94" s="17" t="s">
        <v>313</v>
      </c>
      <c r="E94" s="17"/>
      <c r="F94" s="16"/>
      <c r="G94" s="16"/>
      <c r="H94" s="19" t="s">
        <v>314</v>
      </c>
      <c r="I94" s="26">
        <v>1432714</v>
      </c>
      <c r="J94" s="26">
        <v>2920030</v>
      </c>
      <c r="K94" s="26"/>
      <c r="L94" s="26"/>
      <c r="M94" s="26"/>
      <c r="N94" s="26">
        <f t="shared" si="6"/>
        <v>4352744</v>
      </c>
      <c r="O94" s="22">
        <v>1432714</v>
      </c>
      <c r="P94" s="22">
        <f>+J94/26*8</f>
        <v>898470.76923076925</v>
      </c>
      <c r="Q94" s="22"/>
      <c r="R94" s="22"/>
      <c r="S94" s="22"/>
      <c r="T94" s="22">
        <f t="shared" si="7"/>
        <v>2331184.769230769</v>
      </c>
      <c r="U94" s="23">
        <v>2021559</v>
      </c>
      <c r="V94" s="23">
        <f t="shared" si="8"/>
        <v>0.23076923075132072</v>
      </c>
      <c r="W94" s="23">
        <f t="shared" si="9"/>
        <v>4352744</v>
      </c>
      <c r="X94" s="23">
        <f t="shared" si="10"/>
        <v>0</v>
      </c>
      <c r="Y94" s="24">
        <f t="shared" si="11"/>
        <v>3.3022411866741763E-2</v>
      </c>
      <c r="Z94" s="17" t="s">
        <v>42</v>
      </c>
    </row>
    <row r="95" spans="1:26" x14ac:dyDescent="0.25">
      <c r="A95" s="1" t="s">
        <v>74</v>
      </c>
      <c r="B95" s="16">
        <v>86</v>
      </c>
      <c r="C95" s="16" t="s">
        <v>315</v>
      </c>
      <c r="D95" s="17" t="s">
        <v>316</v>
      </c>
      <c r="E95" s="17"/>
      <c r="F95" s="16"/>
      <c r="G95" s="16"/>
      <c r="H95" s="19" t="s">
        <v>317</v>
      </c>
      <c r="I95" s="26">
        <v>2458669</v>
      </c>
      <c r="J95" s="26">
        <v>1166331</v>
      </c>
      <c r="K95" s="26"/>
      <c r="L95" s="26"/>
      <c r="M95" s="26"/>
      <c r="N95" s="26">
        <f t="shared" si="6"/>
        <v>3625000</v>
      </c>
      <c r="O95" s="22">
        <v>2458669</v>
      </c>
      <c r="P95" s="22">
        <f>+J95/10.35%*8%</f>
        <v>901511.88405797107</v>
      </c>
      <c r="Q95" s="22"/>
      <c r="R95" s="22"/>
      <c r="S95" s="22"/>
      <c r="T95" s="22">
        <f t="shared" si="7"/>
        <v>3360180.8840579712</v>
      </c>
      <c r="U95" s="23"/>
      <c r="V95" s="23">
        <f t="shared" si="8"/>
        <v>264819.11594202893</v>
      </c>
      <c r="W95" s="23">
        <f t="shared" si="9"/>
        <v>3625000</v>
      </c>
      <c r="X95" s="23">
        <f t="shared" si="10"/>
        <v>0</v>
      </c>
      <c r="Y95" s="24">
        <f t="shared" si="11"/>
        <v>4.7598662519028528E-2</v>
      </c>
      <c r="Z95" s="17" t="s">
        <v>47</v>
      </c>
    </row>
    <row r="96" spans="1:26" x14ac:dyDescent="0.25">
      <c r="A96" s="1" t="s">
        <v>74</v>
      </c>
      <c r="B96" s="16">
        <v>87</v>
      </c>
      <c r="C96" s="16" t="s">
        <v>318</v>
      </c>
      <c r="D96" s="17" t="s">
        <v>319</v>
      </c>
      <c r="E96" s="17"/>
      <c r="F96" s="16"/>
      <c r="G96" s="16"/>
      <c r="H96" s="19" t="s">
        <v>165</v>
      </c>
      <c r="I96" s="26">
        <v>3230055</v>
      </c>
      <c r="J96" s="26">
        <v>6571259</v>
      </c>
      <c r="K96" s="26"/>
      <c r="L96" s="26"/>
      <c r="M96" s="26"/>
      <c r="N96" s="26">
        <f t="shared" si="6"/>
        <v>9801314</v>
      </c>
      <c r="O96" s="22">
        <v>3230055</v>
      </c>
      <c r="P96" s="22"/>
      <c r="Q96" s="22"/>
      <c r="R96" s="22"/>
      <c r="S96" s="22"/>
      <c r="T96" s="22">
        <f t="shared" si="7"/>
        <v>3230055</v>
      </c>
      <c r="U96" s="23">
        <f>+J96</f>
        <v>6571259</v>
      </c>
      <c r="V96" s="23">
        <f t="shared" si="8"/>
        <v>0</v>
      </c>
      <c r="W96" s="23">
        <f t="shared" si="9"/>
        <v>9801314</v>
      </c>
      <c r="X96" s="23">
        <f t="shared" si="10"/>
        <v>0</v>
      </c>
      <c r="Y96" s="24">
        <f t="shared" si="11"/>
        <v>4.575536352591434E-2</v>
      </c>
      <c r="Z96" s="17" t="s">
        <v>42</v>
      </c>
    </row>
    <row r="97" spans="1:26" ht="47.25" x14ac:dyDescent="0.25">
      <c r="A97" s="1" t="s">
        <v>74</v>
      </c>
      <c r="B97" s="16">
        <v>88</v>
      </c>
      <c r="C97" s="16" t="s">
        <v>320</v>
      </c>
      <c r="D97" s="17" t="s">
        <v>321</v>
      </c>
      <c r="E97" s="17"/>
      <c r="F97" s="16" t="s">
        <v>100</v>
      </c>
      <c r="G97" s="16">
        <v>302</v>
      </c>
      <c r="H97" s="19" t="s">
        <v>322</v>
      </c>
      <c r="I97" s="26">
        <v>488118</v>
      </c>
      <c r="J97" s="26"/>
      <c r="K97" s="26"/>
      <c r="L97" s="26"/>
      <c r="M97" s="26"/>
      <c r="N97" s="26">
        <f t="shared" si="6"/>
        <v>488118</v>
      </c>
      <c r="O97" s="22">
        <v>488118</v>
      </c>
      <c r="P97" s="22"/>
      <c r="Q97" s="22"/>
      <c r="R97" s="22"/>
      <c r="S97" s="22"/>
      <c r="T97" s="22">
        <f t="shared" si="7"/>
        <v>488118</v>
      </c>
      <c r="U97" s="23"/>
      <c r="V97" s="23">
        <f t="shared" si="8"/>
        <v>0</v>
      </c>
      <c r="W97" s="23">
        <f t="shared" si="9"/>
        <v>488118</v>
      </c>
      <c r="X97" s="23">
        <f t="shared" si="10"/>
        <v>0</v>
      </c>
      <c r="Y97" s="24">
        <f t="shared" si="11"/>
        <v>6.9144384642187999E-3</v>
      </c>
      <c r="Z97" s="18" t="s">
        <v>64</v>
      </c>
    </row>
    <row r="98" spans="1:26" x14ac:dyDescent="0.25">
      <c r="A98" s="1" t="s">
        <v>74</v>
      </c>
      <c r="B98" s="16">
        <v>89</v>
      </c>
      <c r="C98" s="16" t="s">
        <v>323</v>
      </c>
      <c r="D98" s="17" t="s">
        <v>324</v>
      </c>
      <c r="E98" s="17"/>
      <c r="F98" s="16"/>
      <c r="G98" s="16"/>
      <c r="H98" s="19" t="s">
        <v>325</v>
      </c>
      <c r="I98" s="26">
        <v>7896000</v>
      </c>
      <c r="J98" s="26">
        <v>909619</v>
      </c>
      <c r="K98" s="26">
        <v>947520</v>
      </c>
      <c r="L98" s="26"/>
      <c r="M98" s="26">
        <v>1895040</v>
      </c>
      <c r="N98" s="26">
        <f t="shared" si="6"/>
        <v>11648179</v>
      </c>
      <c r="O98" s="22">
        <v>7817040</v>
      </c>
      <c r="P98" s="22">
        <f>+J98/12%*8%</f>
        <v>606412.66666666674</v>
      </c>
      <c r="Q98" s="22"/>
      <c r="R98" s="22"/>
      <c r="S98" s="22"/>
      <c r="T98" s="22">
        <f t="shared" si="7"/>
        <v>8423452.666666666</v>
      </c>
      <c r="U98" s="23"/>
      <c r="V98" s="23">
        <f t="shared" si="8"/>
        <v>3224726.333333333</v>
      </c>
      <c r="W98" s="23">
        <f t="shared" si="9"/>
        <v>11648179</v>
      </c>
      <c r="X98" s="23">
        <f t="shared" si="10"/>
        <v>0</v>
      </c>
      <c r="Y98" s="24">
        <f t="shared" si="11"/>
        <v>0.11932246940273952</v>
      </c>
      <c r="Z98" s="17" t="s">
        <v>47</v>
      </c>
    </row>
    <row r="99" spans="1:26" x14ac:dyDescent="0.25">
      <c r="A99" s="1" t="s">
        <v>74</v>
      </c>
      <c r="B99" s="16">
        <v>90</v>
      </c>
      <c r="C99" s="16" t="s">
        <v>326</v>
      </c>
      <c r="D99" s="17" t="s">
        <v>327</v>
      </c>
      <c r="E99" s="17"/>
      <c r="F99" s="16"/>
      <c r="G99" s="16"/>
      <c r="H99" s="19" t="s">
        <v>328</v>
      </c>
      <c r="I99" s="26">
        <v>100000</v>
      </c>
      <c r="J99" s="26"/>
      <c r="K99" s="26"/>
      <c r="L99" s="26"/>
      <c r="M99" s="26"/>
      <c r="N99" s="26">
        <f t="shared" si="6"/>
        <v>100000</v>
      </c>
      <c r="O99" s="22">
        <v>100000</v>
      </c>
      <c r="P99" s="22"/>
      <c r="Q99" s="22"/>
      <c r="R99" s="22"/>
      <c r="S99" s="22"/>
      <c r="T99" s="22">
        <f t="shared" si="7"/>
        <v>100000</v>
      </c>
      <c r="U99" s="23"/>
      <c r="V99" s="23">
        <f t="shared" si="8"/>
        <v>0</v>
      </c>
      <c r="W99" s="23">
        <f t="shared" si="9"/>
        <v>100000</v>
      </c>
      <c r="X99" s="23">
        <f t="shared" si="10"/>
        <v>0</v>
      </c>
      <c r="Y99" s="24">
        <f t="shared" si="11"/>
        <v>1.4165506013338579E-3</v>
      </c>
      <c r="Z99" s="17" t="s">
        <v>47</v>
      </c>
    </row>
    <row r="100" spans="1:26" x14ac:dyDescent="0.25">
      <c r="A100" s="1" t="s">
        <v>74</v>
      </c>
      <c r="B100" s="16">
        <v>91</v>
      </c>
      <c r="C100" s="16" t="s">
        <v>329</v>
      </c>
      <c r="D100" s="17" t="s">
        <v>330</v>
      </c>
      <c r="E100" s="17"/>
      <c r="F100" s="16"/>
      <c r="G100" s="16"/>
      <c r="H100" s="19" t="s">
        <v>331</v>
      </c>
      <c r="I100" s="26">
        <v>100000</v>
      </c>
      <c r="J100" s="26"/>
      <c r="K100" s="26"/>
      <c r="L100" s="26"/>
      <c r="M100" s="26"/>
      <c r="N100" s="26">
        <f t="shared" si="6"/>
        <v>100000</v>
      </c>
      <c r="O100" s="22">
        <v>100000</v>
      </c>
      <c r="P100" s="22"/>
      <c r="Q100" s="22"/>
      <c r="R100" s="22"/>
      <c r="S100" s="22"/>
      <c r="T100" s="22">
        <f t="shared" si="7"/>
        <v>100000</v>
      </c>
      <c r="U100" s="23"/>
      <c r="V100" s="23">
        <f t="shared" si="8"/>
        <v>0</v>
      </c>
      <c r="W100" s="23">
        <f t="shared" si="9"/>
        <v>100000</v>
      </c>
      <c r="X100" s="23">
        <f t="shared" si="10"/>
        <v>0</v>
      </c>
      <c r="Y100" s="24">
        <f t="shared" si="11"/>
        <v>1.4165506013338579E-3</v>
      </c>
      <c r="Z100" s="17" t="s">
        <v>47</v>
      </c>
    </row>
    <row r="101" spans="1:26" x14ac:dyDescent="0.25">
      <c r="A101" s="1" t="s">
        <v>74</v>
      </c>
      <c r="B101" s="16">
        <v>92</v>
      </c>
      <c r="C101" s="16" t="s">
        <v>332</v>
      </c>
      <c r="D101" s="17" t="s">
        <v>333</v>
      </c>
      <c r="E101" s="17"/>
      <c r="F101" s="16"/>
      <c r="G101" s="16"/>
      <c r="H101" s="19" t="s">
        <v>334</v>
      </c>
      <c r="I101" s="26">
        <f>1820770-L101</f>
        <v>1619070</v>
      </c>
      <c r="J101" s="26"/>
      <c r="K101" s="26"/>
      <c r="L101" s="26">
        <f>171000+28500+2200</f>
        <v>201700</v>
      </c>
      <c r="M101" s="26"/>
      <c r="N101" s="26">
        <f t="shared" si="6"/>
        <v>1820770</v>
      </c>
      <c r="O101" s="22">
        <v>1596270</v>
      </c>
      <c r="P101" s="22"/>
      <c r="Q101" s="22"/>
      <c r="R101" s="22">
        <v>0</v>
      </c>
      <c r="S101" s="22"/>
      <c r="T101" s="22">
        <f t="shared" si="7"/>
        <v>1596270</v>
      </c>
      <c r="U101" s="23"/>
      <c r="V101" s="23">
        <f t="shared" si="8"/>
        <v>224500</v>
      </c>
      <c r="W101" s="23">
        <f t="shared" si="9"/>
        <v>1820770</v>
      </c>
      <c r="X101" s="23">
        <f t="shared" si="10"/>
        <v>0</v>
      </c>
      <c r="Y101" s="24">
        <f t="shared" si="11"/>
        <v>2.2611972283911971E-2</v>
      </c>
      <c r="Z101" s="17" t="s">
        <v>47</v>
      </c>
    </row>
    <row r="102" spans="1:26" x14ac:dyDescent="0.25">
      <c r="A102" s="1" t="s">
        <v>74</v>
      </c>
      <c r="B102" s="16">
        <v>93</v>
      </c>
      <c r="C102" s="16" t="s">
        <v>335</v>
      </c>
      <c r="D102" s="17" t="s">
        <v>336</v>
      </c>
      <c r="E102" s="17"/>
      <c r="F102" s="16"/>
      <c r="G102" s="16"/>
      <c r="H102" s="19" t="s">
        <v>337</v>
      </c>
      <c r="I102" s="26">
        <f>364485+967832</f>
        <v>1332317</v>
      </c>
      <c r="J102" s="26">
        <v>632005</v>
      </c>
      <c r="K102" s="26"/>
      <c r="L102" s="26"/>
      <c r="M102" s="26"/>
      <c r="N102" s="26">
        <f t="shared" si="6"/>
        <v>1964322</v>
      </c>
      <c r="O102" s="22">
        <v>1332317</v>
      </c>
      <c r="P102" s="22">
        <f>+J102/10.35%*8%</f>
        <v>488506.28019323677</v>
      </c>
      <c r="Q102" s="22"/>
      <c r="R102" s="22"/>
      <c r="S102" s="22"/>
      <c r="T102" s="22">
        <f t="shared" si="7"/>
        <v>1820823.2801932367</v>
      </c>
      <c r="U102" s="23"/>
      <c r="V102" s="23">
        <f t="shared" si="8"/>
        <v>143498.71980676323</v>
      </c>
      <c r="W102" s="23">
        <f t="shared" si="9"/>
        <v>1964322</v>
      </c>
      <c r="X102" s="23">
        <f t="shared" si="10"/>
        <v>0</v>
      </c>
      <c r="Y102" s="24">
        <f t="shared" si="11"/>
        <v>2.5792883124804166E-2</v>
      </c>
      <c r="Z102" s="17" t="s">
        <v>47</v>
      </c>
    </row>
    <row r="103" spans="1:26" x14ac:dyDescent="0.25">
      <c r="A103" s="1" t="s">
        <v>74</v>
      </c>
      <c r="B103" s="16">
        <v>94</v>
      </c>
      <c r="C103" s="16" t="s">
        <v>338</v>
      </c>
      <c r="D103" s="17" t="s">
        <v>339</v>
      </c>
      <c r="E103" s="17"/>
      <c r="F103" s="16" t="s">
        <v>340</v>
      </c>
      <c r="G103" s="16">
        <v>204</v>
      </c>
      <c r="H103" s="19" t="s">
        <v>341</v>
      </c>
      <c r="I103" s="26">
        <v>806000</v>
      </c>
      <c r="J103" s="26">
        <v>1392133</v>
      </c>
      <c r="K103" s="26"/>
      <c r="L103" s="26"/>
      <c r="M103" s="26"/>
      <c r="N103" s="26">
        <f t="shared" si="6"/>
        <v>2198133</v>
      </c>
      <c r="O103" s="22">
        <v>806000</v>
      </c>
      <c r="P103" s="22">
        <f>+J103/18%*8%</f>
        <v>618725.77777777787</v>
      </c>
      <c r="Q103" s="22"/>
      <c r="R103" s="22"/>
      <c r="S103" s="22"/>
      <c r="T103" s="22">
        <f t="shared" si="7"/>
        <v>1424725.777777778</v>
      </c>
      <c r="U103" s="23"/>
      <c r="V103" s="23">
        <f t="shared" si="8"/>
        <v>773407.22222222213</v>
      </c>
      <c r="W103" s="23">
        <f t="shared" si="9"/>
        <v>2198133</v>
      </c>
      <c r="X103" s="23">
        <f t="shared" si="10"/>
        <v>0</v>
      </c>
      <c r="Y103" s="24">
        <f t="shared" si="11"/>
        <v>2.0181961572469598E-2</v>
      </c>
      <c r="Z103" s="17" t="s">
        <v>42</v>
      </c>
    </row>
    <row r="104" spans="1:26" x14ac:dyDescent="0.25">
      <c r="A104" s="1" t="s">
        <v>74</v>
      </c>
      <c r="B104" s="16">
        <v>95</v>
      </c>
      <c r="C104" s="16" t="s">
        <v>342</v>
      </c>
      <c r="D104" s="17" t="s">
        <v>343</v>
      </c>
      <c r="E104" s="17"/>
      <c r="F104" s="16" t="s">
        <v>35</v>
      </c>
      <c r="G104" s="16">
        <v>208</v>
      </c>
      <c r="H104" s="19" t="s">
        <v>344</v>
      </c>
      <c r="I104" s="26">
        <v>105410</v>
      </c>
      <c r="J104" s="26"/>
      <c r="K104" s="26"/>
      <c r="L104" s="26"/>
      <c r="M104" s="26"/>
      <c r="N104" s="26">
        <f t="shared" si="6"/>
        <v>105410</v>
      </c>
      <c r="O104" s="22">
        <v>105410</v>
      </c>
      <c r="P104" s="22"/>
      <c r="Q104" s="22"/>
      <c r="R104" s="22"/>
      <c r="S104" s="22"/>
      <c r="T104" s="22">
        <f t="shared" si="7"/>
        <v>105410</v>
      </c>
      <c r="U104" s="23"/>
      <c r="V104" s="23">
        <f t="shared" si="8"/>
        <v>0</v>
      </c>
      <c r="W104" s="23">
        <f t="shared" si="9"/>
        <v>105410</v>
      </c>
      <c r="X104" s="23">
        <f t="shared" si="10"/>
        <v>0</v>
      </c>
      <c r="Y104" s="24">
        <f t="shared" si="11"/>
        <v>1.4931859888660196E-3</v>
      </c>
      <c r="Z104" s="17"/>
    </row>
    <row r="105" spans="1:26" x14ac:dyDescent="0.25">
      <c r="A105" s="1" t="s">
        <v>74</v>
      </c>
      <c r="B105" s="16">
        <v>96</v>
      </c>
      <c r="C105" s="16" t="s">
        <v>345</v>
      </c>
      <c r="D105" s="17" t="s">
        <v>346</v>
      </c>
      <c r="E105" s="17"/>
      <c r="F105" s="16" t="s">
        <v>35</v>
      </c>
      <c r="G105" s="16">
        <v>104</v>
      </c>
      <c r="H105" s="19" t="s">
        <v>347</v>
      </c>
      <c r="I105" s="26">
        <v>1185223</v>
      </c>
      <c r="J105" s="26"/>
      <c r="K105" s="26"/>
      <c r="L105" s="26"/>
      <c r="M105" s="26"/>
      <c r="N105" s="26">
        <f t="shared" si="6"/>
        <v>1185223</v>
      </c>
      <c r="O105" s="22">
        <v>1185069</v>
      </c>
      <c r="P105" s="22"/>
      <c r="Q105" s="22"/>
      <c r="R105" s="22"/>
      <c r="S105" s="22"/>
      <c r="T105" s="22">
        <f t="shared" si="7"/>
        <v>1185069</v>
      </c>
      <c r="U105" s="23"/>
      <c r="V105" s="23">
        <f t="shared" si="8"/>
        <v>154</v>
      </c>
      <c r="W105" s="23">
        <f t="shared" si="9"/>
        <v>1185223</v>
      </c>
      <c r="X105" s="23">
        <f t="shared" si="10"/>
        <v>0</v>
      </c>
      <c r="Y105" s="24">
        <f t="shared" si="11"/>
        <v>1.6787102045721133E-2</v>
      </c>
      <c r="Z105" s="17" t="s">
        <v>47</v>
      </c>
    </row>
    <row r="106" spans="1:26" x14ac:dyDescent="0.25">
      <c r="A106" s="1" t="s">
        <v>74</v>
      </c>
      <c r="B106" s="16">
        <v>97</v>
      </c>
      <c r="C106" s="16" t="s">
        <v>348</v>
      </c>
      <c r="D106" s="17" t="s">
        <v>349</v>
      </c>
      <c r="E106" s="17"/>
      <c r="F106" s="16"/>
      <c r="G106" s="16"/>
      <c r="H106" s="19" t="s">
        <v>350</v>
      </c>
      <c r="I106" s="26">
        <f>4518421-L106</f>
        <v>4257021</v>
      </c>
      <c r="J106" s="26"/>
      <c r="K106" s="26"/>
      <c r="L106" s="26">
        <v>261400</v>
      </c>
      <c r="M106" s="26"/>
      <c r="N106" s="26">
        <f t="shared" si="6"/>
        <v>4518421</v>
      </c>
      <c r="O106" s="22">
        <v>2463866</v>
      </c>
      <c r="P106" s="22"/>
      <c r="Q106" s="22"/>
      <c r="R106" s="22">
        <v>0</v>
      </c>
      <c r="S106" s="22"/>
      <c r="T106" s="22">
        <f t="shared" si="7"/>
        <v>2463866</v>
      </c>
      <c r="U106" s="23">
        <f>+I106-O106</f>
        <v>1793155</v>
      </c>
      <c r="V106" s="23">
        <f t="shared" si="8"/>
        <v>261400</v>
      </c>
      <c r="W106" s="23">
        <f t="shared" si="9"/>
        <v>4518421</v>
      </c>
      <c r="X106" s="23">
        <f t="shared" si="10"/>
        <v>0</v>
      </c>
      <c r="Y106" s="24">
        <f t="shared" si="11"/>
        <v>3.4901908639060467E-2</v>
      </c>
      <c r="Z106" s="17"/>
    </row>
    <row r="107" spans="1:26" x14ac:dyDescent="0.25">
      <c r="A107" s="1" t="s">
        <v>74</v>
      </c>
      <c r="B107" s="16">
        <v>98</v>
      </c>
      <c r="C107" s="16" t="s">
        <v>351</v>
      </c>
      <c r="D107" s="17" t="s">
        <v>352</v>
      </c>
      <c r="E107" s="17"/>
      <c r="F107" s="16" t="s">
        <v>173</v>
      </c>
      <c r="G107" s="16">
        <v>512</v>
      </c>
      <c r="H107" s="19" t="s">
        <v>353</v>
      </c>
      <c r="I107" s="26">
        <v>1012000</v>
      </c>
      <c r="J107" s="26">
        <f>347350+707180</f>
        <v>1054530</v>
      </c>
      <c r="K107" s="26"/>
      <c r="L107" s="26"/>
      <c r="M107" s="26"/>
      <c r="N107" s="26">
        <f t="shared" si="6"/>
        <v>2066530</v>
      </c>
      <c r="O107" s="22">
        <v>1012000</v>
      </c>
      <c r="P107" s="22">
        <f>+J107/18%*8%</f>
        <v>468680</v>
      </c>
      <c r="Q107" s="22"/>
      <c r="R107" s="22"/>
      <c r="S107" s="22"/>
      <c r="T107" s="22">
        <f t="shared" si="7"/>
        <v>1480680</v>
      </c>
      <c r="U107" s="23"/>
      <c r="V107" s="23">
        <f t="shared" si="8"/>
        <v>585850</v>
      </c>
      <c r="W107" s="23">
        <f t="shared" si="9"/>
        <v>2066530</v>
      </c>
      <c r="X107" s="23">
        <f t="shared" si="10"/>
        <v>0</v>
      </c>
      <c r="Y107" s="24">
        <f t="shared" si="11"/>
        <v>2.0974581443830163E-2</v>
      </c>
      <c r="Z107" s="17" t="s">
        <v>47</v>
      </c>
    </row>
    <row r="108" spans="1:26" ht="47.25" x14ac:dyDescent="0.25">
      <c r="A108" s="1" t="s">
        <v>74</v>
      </c>
      <c r="B108" s="16">
        <v>99</v>
      </c>
      <c r="C108" s="16" t="s">
        <v>354</v>
      </c>
      <c r="D108" s="17" t="s">
        <v>355</v>
      </c>
      <c r="E108" s="17" t="s">
        <v>162</v>
      </c>
      <c r="F108" s="16" t="s">
        <v>163</v>
      </c>
      <c r="G108" s="16">
        <v>604</v>
      </c>
      <c r="H108" s="19" t="s">
        <v>356</v>
      </c>
      <c r="I108" s="26">
        <v>744000</v>
      </c>
      <c r="J108" s="26"/>
      <c r="K108" s="26"/>
      <c r="L108" s="26"/>
      <c r="M108" s="26"/>
      <c r="N108" s="26">
        <f t="shared" si="6"/>
        <v>744000</v>
      </c>
      <c r="O108" s="22">
        <v>730000</v>
      </c>
      <c r="P108" s="22"/>
      <c r="Q108" s="22"/>
      <c r="R108" s="22"/>
      <c r="S108" s="22"/>
      <c r="T108" s="22">
        <f t="shared" si="7"/>
        <v>730000</v>
      </c>
      <c r="U108" s="23"/>
      <c r="V108" s="23">
        <f t="shared" si="8"/>
        <v>14000</v>
      </c>
      <c r="W108" s="23">
        <f t="shared" si="9"/>
        <v>744000</v>
      </c>
      <c r="X108" s="23">
        <f t="shared" si="10"/>
        <v>0</v>
      </c>
      <c r="Y108" s="24">
        <f t="shared" si="11"/>
        <v>1.0340819389737162E-2</v>
      </c>
      <c r="Z108" s="18" t="s">
        <v>64</v>
      </c>
    </row>
    <row r="109" spans="1:26" x14ac:dyDescent="0.25">
      <c r="A109" s="1" t="s">
        <v>74</v>
      </c>
      <c r="B109" s="16">
        <v>100</v>
      </c>
      <c r="C109" s="16" t="s">
        <v>357</v>
      </c>
      <c r="D109" s="17" t="s">
        <v>358</v>
      </c>
      <c r="E109" s="17"/>
      <c r="F109" s="16"/>
      <c r="G109" s="16"/>
      <c r="H109" s="19" t="s">
        <v>359</v>
      </c>
      <c r="I109" s="26">
        <f>2328949-L109</f>
        <v>2204849</v>
      </c>
      <c r="J109" s="26">
        <v>1040092</v>
      </c>
      <c r="K109" s="26"/>
      <c r="L109" s="26">
        <v>124100</v>
      </c>
      <c r="M109" s="26"/>
      <c r="N109" s="26">
        <f t="shared" si="6"/>
        <v>3369041</v>
      </c>
      <c r="O109" s="22">
        <v>2180661</v>
      </c>
      <c r="P109" s="22">
        <f>+J109</f>
        <v>1040092</v>
      </c>
      <c r="Q109" s="22"/>
      <c r="R109" s="22">
        <v>0</v>
      </c>
      <c r="S109" s="22"/>
      <c r="T109" s="22">
        <f t="shared" si="7"/>
        <v>3220753</v>
      </c>
      <c r="U109" s="23"/>
      <c r="V109" s="23">
        <f t="shared" si="8"/>
        <v>148288</v>
      </c>
      <c r="W109" s="23">
        <f t="shared" si="9"/>
        <v>3369041</v>
      </c>
      <c r="X109" s="23">
        <f t="shared" si="10"/>
        <v>0</v>
      </c>
      <c r="Y109" s="24">
        <f t="shared" si="11"/>
        <v>4.5623595988978263E-2</v>
      </c>
      <c r="Z109" s="17" t="s">
        <v>47</v>
      </c>
    </row>
    <row r="110" spans="1:26" x14ac:dyDescent="0.25">
      <c r="A110" s="1" t="s">
        <v>74</v>
      </c>
      <c r="B110" s="16">
        <v>101</v>
      </c>
      <c r="C110" s="16" t="s">
        <v>360</v>
      </c>
      <c r="D110" s="17" t="s">
        <v>361</v>
      </c>
      <c r="E110" s="17"/>
      <c r="F110" s="16" t="s">
        <v>35</v>
      </c>
      <c r="G110" s="16">
        <v>804</v>
      </c>
      <c r="H110" s="19" t="s">
        <v>362</v>
      </c>
      <c r="I110" s="26">
        <v>1239827</v>
      </c>
      <c r="J110" s="26"/>
      <c r="K110" s="26"/>
      <c r="L110" s="26"/>
      <c r="M110" s="26"/>
      <c r="N110" s="26">
        <f t="shared" si="6"/>
        <v>1239827</v>
      </c>
      <c r="O110" s="22">
        <v>1239827</v>
      </c>
      <c r="P110" s="22"/>
      <c r="Q110" s="22"/>
      <c r="R110" s="22"/>
      <c r="S110" s="22"/>
      <c r="T110" s="22">
        <f t="shared" si="7"/>
        <v>1239827</v>
      </c>
      <c r="U110" s="23"/>
      <c r="V110" s="23">
        <f t="shared" si="8"/>
        <v>0</v>
      </c>
      <c r="W110" s="23">
        <f t="shared" si="9"/>
        <v>1239827</v>
      </c>
      <c r="X110" s="23">
        <f t="shared" si="10"/>
        <v>0</v>
      </c>
      <c r="Y110" s="24">
        <f t="shared" si="11"/>
        <v>1.7562776823999527E-2</v>
      </c>
      <c r="Z110" s="17" t="s">
        <v>47</v>
      </c>
    </row>
    <row r="111" spans="1:26" x14ac:dyDescent="0.25">
      <c r="A111" s="1" t="s">
        <v>74</v>
      </c>
      <c r="B111" s="16">
        <v>102</v>
      </c>
      <c r="C111" s="16" t="s">
        <v>363</v>
      </c>
      <c r="D111" s="17" t="s">
        <v>364</v>
      </c>
      <c r="E111" s="17"/>
      <c r="F111" s="16" t="s">
        <v>35</v>
      </c>
      <c r="G111" s="16">
        <v>803</v>
      </c>
      <c r="H111" s="19" t="s">
        <v>362</v>
      </c>
      <c r="I111" s="26">
        <v>1239827</v>
      </c>
      <c r="J111" s="26"/>
      <c r="K111" s="26"/>
      <c r="L111" s="26"/>
      <c r="M111" s="26"/>
      <c r="N111" s="26">
        <f t="shared" si="6"/>
        <v>1239827</v>
      </c>
      <c r="O111" s="22">
        <v>1239827</v>
      </c>
      <c r="P111" s="22"/>
      <c r="Q111" s="22"/>
      <c r="R111" s="22"/>
      <c r="S111" s="22"/>
      <c r="T111" s="22">
        <f t="shared" si="7"/>
        <v>1239827</v>
      </c>
      <c r="U111" s="23"/>
      <c r="V111" s="23">
        <f t="shared" si="8"/>
        <v>0</v>
      </c>
      <c r="W111" s="23">
        <f t="shared" si="9"/>
        <v>1239827</v>
      </c>
      <c r="X111" s="23">
        <f t="shared" si="10"/>
        <v>0</v>
      </c>
      <c r="Y111" s="24">
        <f t="shared" si="11"/>
        <v>1.7562776823999527E-2</v>
      </c>
      <c r="Z111" s="17" t="s">
        <v>47</v>
      </c>
    </row>
    <row r="112" spans="1:26" x14ac:dyDescent="0.25">
      <c r="A112" s="1" t="s">
        <v>74</v>
      </c>
      <c r="B112" s="16">
        <v>103</v>
      </c>
      <c r="C112" s="16" t="s">
        <v>365</v>
      </c>
      <c r="D112" s="17" t="s">
        <v>366</v>
      </c>
      <c r="E112" s="17"/>
      <c r="F112" s="16"/>
      <c r="G112" s="16"/>
      <c r="H112" s="19" t="s">
        <v>367</v>
      </c>
      <c r="I112" s="26">
        <v>1320278</v>
      </c>
      <c r="J112" s="26"/>
      <c r="K112" s="26"/>
      <c r="L112" s="26"/>
      <c r="M112" s="26"/>
      <c r="N112" s="26">
        <f t="shared" si="6"/>
        <v>1320278</v>
      </c>
      <c r="O112" s="22">
        <v>1320263</v>
      </c>
      <c r="P112" s="22"/>
      <c r="Q112" s="22"/>
      <c r="R112" s="22"/>
      <c r="S112" s="22"/>
      <c r="T112" s="22">
        <f t="shared" si="7"/>
        <v>1320263</v>
      </c>
      <c r="U112" s="23"/>
      <c r="V112" s="23">
        <f t="shared" si="8"/>
        <v>15</v>
      </c>
      <c r="W112" s="23">
        <f t="shared" si="9"/>
        <v>1320278</v>
      </c>
      <c r="X112" s="23">
        <f t="shared" si="10"/>
        <v>0</v>
      </c>
      <c r="Y112" s="24">
        <f t="shared" si="11"/>
        <v>1.8702193465688431E-2</v>
      </c>
      <c r="Z112" s="17" t="s">
        <v>47</v>
      </c>
    </row>
    <row r="113" spans="1:26" x14ac:dyDescent="0.25">
      <c r="A113" s="1" t="s">
        <v>74</v>
      </c>
      <c r="B113" s="16">
        <v>104</v>
      </c>
      <c r="C113" s="16" t="s">
        <v>368</v>
      </c>
      <c r="D113" s="17" t="s">
        <v>369</v>
      </c>
      <c r="E113" s="17"/>
      <c r="F113" s="16"/>
      <c r="G113" s="16"/>
      <c r="H113" s="19" t="s">
        <v>370</v>
      </c>
      <c r="I113" s="26">
        <v>1734239</v>
      </c>
      <c r="J113" s="26"/>
      <c r="K113" s="26"/>
      <c r="L113" s="26"/>
      <c r="M113" s="26"/>
      <c r="N113" s="26">
        <f t="shared" si="6"/>
        <v>1734239</v>
      </c>
      <c r="O113" s="22">
        <v>1734239</v>
      </c>
      <c r="P113" s="22"/>
      <c r="Q113" s="22"/>
      <c r="R113" s="22"/>
      <c r="S113" s="22"/>
      <c r="T113" s="22">
        <f t="shared" si="7"/>
        <v>1734239</v>
      </c>
      <c r="U113" s="23"/>
      <c r="V113" s="23">
        <f t="shared" si="8"/>
        <v>0</v>
      </c>
      <c r="W113" s="23">
        <f t="shared" si="9"/>
        <v>1734239</v>
      </c>
      <c r="X113" s="23">
        <f t="shared" si="10"/>
        <v>0</v>
      </c>
      <c r="Y113" s="24">
        <f t="shared" si="11"/>
        <v>2.4566372983066281E-2</v>
      </c>
      <c r="Z113" s="17" t="s">
        <v>47</v>
      </c>
    </row>
    <row r="114" spans="1:26" x14ac:dyDescent="0.25">
      <c r="A114" s="1" t="s">
        <v>74</v>
      </c>
      <c r="B114" s="16">
        <v>105</v>
      </c>
      <c r="C114" s="16" t="s">
        <v>371</v>
      </c>
      <c r="D114" s="17" t="s">
        <v>372</v>
      </c>
      <c r="E114" s="17" t="s">
        <v>34</v>
      </c>
      <c r="F114" s="16" t="s">
        <v>35</v>
      </c>
      <c r="G114" s="16">
        <v>303</v>
      </c>
      <c r="H114" s="19" t="s">
        <v>373</v>
      </c>
      <c r="I114" s="26">
        <v>1100328</v>
      </c>
      <c r="J114" s="26">
        <v>99030</v>
      </c>
      <c r="K114" s="26"/>
      <c r="L114" s="26"/>
      <c r="M114" s="26"/>
      <c r="N114" s="26">
        <f t="shared" si="6"/>
        <v>1199358</v>
      </c>
      <c r="O114" s="22">
        <v>1100328</v>
      </c>
      <c r="P114" s="22">
        <f>+J114/9%*8%</f>
        <v>88026.666666666686</v>
      </c>
      <c r="Q114" s="22"/>
      <c r="R114" s="22"/>
      <c r="S114" s="22"/>
      <c r="T114" s="22">
        <f t="shared" si="7"/>
        <v>1188354.6666666667</v>
      </c>
      <c r="U114" s="23"/>
      <c r="V114" s="23">
        <f t="shared" si="8"/>
        <v>11003.333333333314</v>
      </c>
      <c r="W114" s="23">
        <f t="shared" si="9"/>
        <v>1199358</v>
      </c>
      <c r="X114" s="23">
        <f t="shared" si="10"/>
        <v>0</v>
      </c>
      <c r="Y114" s="24">
        <f t="shared" si="11"/>
        <v>1.6833645176645626E-2</v>
      </c>
      <c r="Z114" s="17" t="s">
        <v>47</v>
      </c>
    </row>
    <row r="115" spans="1:26" x14ac:dyDescent="0.25">
      <c r="A115" s="1" t="s">
        <v>74</v>
      </c>
      <c r="B115" s="16">
        <v>106</v>
      </c>
      <c r="C115" s="16" t="s">
        <v>374</v>
      </c>
      <c r="D115" s="17" t="s">
        <v>375</v>
      </c>
      <c r="E115" s="17"/>
      <c r="F115" s="16" t="s">
        <v>100</v>
      </c>
      <c r="G115" s="16">
        <v>1703</v>
      </c>
      <c r="H115" s="19" t="s">
        <v>376</v>
      </c>
      <c r="I115" s="26">
        <v>1256050</v>
      </c>
      <c r="J115" s="26">
        <f>1061943+77952</f>
        <v>1139895</v>
      </c>
      <c r="K115" s="26"/>
      <c r="L115" s="26">
        <v>92200</v>
      </c>
      <c r="M115" s="26"/>
      <c r="N115" s="26">
        <f t="shared" si="6"/>
        <v>2488145</v>
      </c>
      <c r="O115" s="22">
        <v>1256050</v>
      </c>
      <c r="P115" s="22">
        <f>+J115/12%*8%</f>
        <v>759930</v>
      </c>
      <c r="Q115" s="22"/>
      <c r="R115" s="22">
        <v>0</v>
      </c>
      <c r="S115" s="22"/>
      <c r="T115" s="22">
        <f t="shared" si="7"/>
        <v>2015980</v>
      </c>
      <c r="U115" s="23"/>
      <c r="V115" s="23">
        <f t="shared" si="8"/>
        <v>472165</v>
      </c>
      <c r="W115" s="23">
        <f t="shared" si="9"/>
        <v>2488145</v>
      </c>
      <c r="X115" s="23">
        <f t="shared" si="10"/>
        <v>0</v>
      </c>
      <c r="Y115" s="24">
        <f t="shared" si="11"/>
        <v>2.8557376812770301E-2</v>
      </c>
      <c r="Z115" s="17" t="s">
        <v>47</v>
      </c>
    </row>
    <row r="116" spans="1:26" x14ac:dyDescent="0.25">
      <c r="A116" s="1" t="s">
        <v>74</v>
      </c>
      <c r="B116" s="16">
        <v>107</v>
      </c>
      <c r="C116" s="16" t="s">
        <v>377</v>
      </c>
      <c r="D116" s="17" t="s">
        <v>378</v>
      </c>
      <c r="E116" s="17"/>
      <c r="F116" s="16" t="s">
        <v>155</v>
      </c>
      <c r="G116" s="16" t="s">
        <v>379</v>
      </c>
      <c r="H116" s="19" t="s">
        <v>380</v>
      </c>
      <c r="I116" s="26">
        <v>2582030</v>
      </c>
      <c r="J116" s="26">
        <v>2164171</v>
      </c>
      <c r="K116" s="26"/>
      <c r="L116" s="26"/>
      <c r="M116" s="26"/>
      <c r="N116" s="26">
        <f t="shared" si="6"/>
        <v>4746201</v>
      </c>
      <c r="O116" s="22">
        <v>2582030</v>
      </c>
      <c r="P116" s="22">
        <f>+J116/10.7%*8%</f>
        <v>1618071.7757009345</v>
      </c>
      <c r="Q116" s="22"/>
      <c r="R116" s="22"/>
      <c r="S116" s="22"/>
      <c r="T116" s="22">
        <f t="shared" si="7"/>
        <v>4200101.7757009342</v>
      </c>
      <c r="U116" s="23"/>
      <c r="V116" s="23">
        <f t="shared" si="8"/>
        <v>546099.22429906554</v>
      </c>
      <c r="W116" s="23">
        <f t="shared" si="9"/>
        <v>4746201</v>
      </c>
      <c r="X116" s="23">
        <f t="shared" si="10"/>
        <v>0</v>
      </c>
      <c r="Y116" s="24">
        <f t="shared" si="11"/>
        <v>5.9496566960325618E-2</v>
      </c>
      <c r="Z116" s="17" t="s">
        <v>47</v>
      </c>
    </row>
    <row r="117" spans="1:26" x14ac:dyDescent="0.25">
      <c r="A117" s="1" t="s">
        <v>74</v>
      </c>
      <c r="B117" s="16">
        <v>108</v>
      </c>
      <c r="C117" s="16" t="s">
        <v>381</v>
      </c>
      <c r="D117" s="17" t="s">
        <v>382</v>
      </c>
      <c r="E117" s="17"/>
      <c r="F117" s="16" t="s">
        <v>100</v>
      </c>
      <c r="G117" s="16">
        <v>1305</v>
      </c>
      <c r="H117" s="19" t="s">
        <v>383</v>
      </c>
      <c r="I117" s="26">
        <v>1225000</v>
      </c>
      <c r="J117" s="26">
        <v>874434</v>
      </c>
      <c r="K117" s="26"/>
      <c r="L117" s="26"/>
      <c r="M117" s="26"/>
      <c r="N117" s="26">
        <f t="shared" si="6"/>
        <v>2099434</v>
      </c>
      <c r="O117" s="22">
        <v>1225000</v>
      </c>
      <c r="P117" s="22"/>
      <c r="Q117" s="22"/>
      <c r="R117" s="22"/>
      <c r="S117" s="22"/>
      <c r="T117" s="22">
        <f t="shared" si="7"/>
        <v>1225000</v>
      </c>
      <c r="U117" s="23">
        <f>+J117</f>
        <v>874434</v>
      </c>
      <c r="V117" s="23">
        <f t="shared" si="8"/>
        <v>0</v>
      </c>
      <c r="W117" s="23">
        <f t="shared" si="9"/>
        <v>2099434</v>
      </c>
      <c r="X117" s="23">
        <f t="shared" si="10"/>
        <v>0</v>
      </c>
      <c r="Y117" s="24">
        <f t="shared" si="11"/>
        <v>1.7352744866339757E-2</v>
      </c>
      <c r="Z117" s="17" t="s">
        <v>47</v>
      </c>
    </row>
    <row r="118" spans="1:26" x14ac:dyDescent="0.25">
      <c r="A118" s="1" t="s">
        <v>74</v>
      </c>
      <c r="B118" s="16">
        <v>109</v>
      </c>
      <c r="C118" s="16" t="s">
        <v>384</v>
      </c>
      <c r="D118" s="17" t="s">
        <v>385</v>
      </c>
      <c r="E118" s="17"/>
      <c r="F118" s="16" t="s">
        <v>100</v>
      </c>
      <c r="G118" s="16">
        <v>1304</v>
      </c>
      <c r="H118" s="19" t="s">
        <v>386</v>
      </c>
      <c r="I118" s="26">
        <v>1225000</v>
      </c>
      <c r="J118" s="26">
        <v>874434</v>
      </c>
      <c r="K118" s="26"/>
      <c r="L118" s="26"/>
      <c r="M118" s="26"/>
      <c r="N118" s="26">
        <f t="shared" si="6"/>
        <v>2099434</v>
      </c>
      <c r="O118" s="22">
        <v>1225000</v>
      </c>
      <c r="P118" s="22"/>
      <c r="Q118" s="22"/>
      <c r="R118" s="22"/>
      <c r="S118" s="22"/>
      <c r="T118" s="22">
        <f t="shared" si="7"/>
        <v>1225000</v>
      </c>
      <c r="U118" s="23">
        <f>+J118</f>
        <v>874434</v>
      </c>
      <c r="V118" s="23">
        <f t="shared" si="8"/>
        <v>0</v>
      </c>
      <c r="W118" s="23">
        <f t="shared" si="9"/>
        <v>2099434</v>
      </c>
      <c r="X118" s="23">
        <f t="shared" si="10"/>
        <v>0</v>
      </c>
      <c r="Y118" s="24">
        <f t="shared" si="11"/>
        <v>1.7352744866339757E-2</v>
      </c>
      <c r="Z118" s="17" t="s">
        <v>47</v>
      </c>
    </row>
    <row r="119" spans="1:26" x14ac:dyDescent="0.25">
      <c r="A119" s="1" t="s">
        <v>74</v>
      </c>
      <c r="B119" s="16">
        <v>110</v>
      </c>
      <c r="C119" s="16" t="s">
        <v>387</v>
      </c>
      <c r="D119" s="17" t="s">
        <v>388</v>
      </c>
      <c r="E119" s="17"/>
      <c r="F119" s="16"/>
      <c r="G119" s="16"/>
      <c r="H119" s="19" t="s">
        <v>389</v>
      </c>
      <c r="I119" s="26">
        <f>842940+12600</f>
        <v>855540</v>
      </c>
      <c r="J119" s="26"/>
      <c r="K119" s="26"/>
      <c r="L119" s="26">
        <f>73400+12300</f>
        <v>85700</v>
      </c>
      <c r="M119" s="26">
        <f>18000+20000+251509</f>
        <v>289509</v>
      </c>
      <c r="N119" s="26">
        <f t="shared" si="6"/>
        <v>1230749</v>
      </c>
      <c r="O119" s="22">
        <v>855540</v>
      </c>
      <c r="P119" s="22"/>
      <c r="Q119" s="22"/>
      <c r="R119" s="22">
        <v>0</v>
      </c>
      <c r="S119" s="22"/>
      <c r="T119" s="22">
        <f t="shared" si="7"/>
        <v>855540</v>
      </c>
      <c r="U119" s="23"/>
      <c r="V119" s="23">
        <f t="shared" si="8"/>
        <v>375209</v>
      </c>
      <c r="W119" s="23">
        <f t="shared" si="9"/>
        <v>1230749</v>
      </c>
      <c r="X119" s="23">
        <f t="shared" si="10"/>
        <v>0</v>
      </c>
      <c r="Y119" s="24">
        <f t="shared" si="11"/>
        <v>1.2119157014651686E-2</v>
      </c>
      <c r="Z119" s="17" t="s">
        <v>47</v>
      </c>
    </row>
    <row r="120" spans="1:26" x14ac:dyDescent="0.25">
      <c r="A120" s="1" t="s">
        <v>74</v>
      </c>
      <c r="B120" s="16">
        <v>111</v>
      </c>
      <c r="C120" s="16" t="s">
        <v>390</v>
      </c>
      <c r="D120" s="17" t="s">
        <v>391</v>
      </c>
      <c r="E120" s="17"/>
      <c r="F120" s="16"/>
      <c r="G120" s="16"/>
      <c r="H120" s="19" t="s">
        <v>392</v>
      </c>
      <c r="I120" s="26">
        <v>12586</v>
      </c>
      <c r="J120" s="26"/>
      <c r="K120" s="26"/>
      <c r="L120" s="26">
        <f>73400+12300</f>
        <v>85700</v>
      </c>
      <c r="M120" s="26">
        <v>18000</v>
      </c>
      <c r="N120" s="26">
        <f t="shared" si="6"/>
        <v>116286</v>
      </c>
      <c r="O120" s="22">
        <v>12586</v>
      </c>
      <c r="P120" s="22"/>
      <c r="Q120" s="22"/>
      <c r="R120" s="22">
        <v>0</v>
      </c>
      <c r="S120" s="22"/>
      <c r="T120" s="22">
        <f t="shared" si="7"/>
        <v>12586</v>
      </c>
      <c r="U120" s="23"/>
      <c r="V120" s="23">
        <f t="shared" si="8"/>
        <v>103700</v>
      </c>
      <c r="W120" s="23">
        <f t="shared" si="9"/>
        <v>116286</v>
      </c>
      <c r="X120" s="23">
        <f t="shared" si="10"/>
        <v>0</v>
      </c>
      <c r="Y120" s="24">
        <f t="shared" si="11"/>
        <v>1.7828705868387935E-4</v>
      </c>
      <c r="Z120" s="17" t="s">
        <v>47</v>
      </c>
    </row>
    <row r="121" spans="1:26" x14ac:dyDescent="0.25">
      <c r="A121" s="1" t="s">
        <v>74</v>
      </c>
      <c r="B121" s="16">
        <v>112</v>
      </c>
      <c r="C121" s="16" t="s">
        <v>393</v>
      </c>
      <c r="D121" s="17" t="s">
        <v>394</v>
      </c>
      <c r="E121" s="17"/>
      <c r="F121" s="16" t="s">
        <v>395</v>
      </c>
      <c r="G121" s="16">
        <v>301</v>
      </c>
      <c r="H121" s="19" t="s">
        <v>396</v>
      </c>
      <c r="I121" s="26">
        <v>380000</v>
      </c>
      <c r="J121" s="26">
        <f>(313000-75000)+(18000-5000)+279000+213000+160000</f>
        <v>903000</v>
      </c>
      <c r="K121" s="26"/>
      <c r="L121" s="26"/>
      <c r="M121" s="26">
        <v>217000</v>
      </c>
      <c r="N121" s="26">
        <f t="shared" si="6"/>
        <v>1500000</v>
      </c>
      <c r="O121" s="22">
        <v>380000</v>
      </c>
      <c r="P121" s="22">
        <f>+J121/10%*8%</f>
        <v>722400</v>
      </c>
      <c r="Q121" s="22"/>
      <c r="R121" s="22"/>
      <c r="S121" s="22"/>
      <c r="T121" s="22">
        <f t="shared" si="7"/>
        <v>1102400</v>
      </c>
      <c r="U121" s="23"/>
      <c r="V121" s="23">
        <f t="shared" si="8"/>
        <v>397600</v>
      </c>
      <c r="W121" s="23">
        <f t="shared" si="9"/>
        <v>1500000</v>
      </c>
      <c r="X121" s="23">
        <f t="shared" si="10"/>
        <v>0</v>
      </c>
      <c r="Y121" s="24">
        <f t="shared" si="11"/>
        <v>1.5616053829104448E-2</v>
      </c>
      <c r="Z121" s="17" t="s">
        <v>42</v>
      </c>
    </row>
    <row r="122" spans="1:26" x14ac:dyDescent="0.25">
      <c r="A122" s="1" t="s">
        <v>74</v>
      </c>
      <c r="B122" s="16">
        <v>113</v>
      </c>
      <c r="C122" s="16" t="s">
        <v>397</v>
      </c>
      <c r="D122" s="17" t="s">
        <v>398</v>
      </c>
      <c r="E122" s="17"/>
      <c r="F122" s="16"/>
      <c r="G122" s="16"/>
      <c r="H122" s="19" t="s">
        <v>399</v>
      </c>
      <c r="I122" s="26">
        <v>2976821</v>
      </c>
      <c r="J122" s="26">
        <f>607827+368149</f>
        <v>975976</v>
      </c>
      <c r="K122" s="26"/>
      <c r="L122" s="26"/>
      <c r="M122" s="26"/>
      <c r="N122" s="26">
        <f t="shared" si="6"/>
        <v>3952797</v>
      </c>
      <c r="O122" s="22">
        <v>2976821</v>
      </c>
      <c r="P122" s="22"/>
      <c r="Q122" s="22"/>
      <c r="R122" s="22"/>
      <c r="S122" s="22"/>
      <c r="T122" s="22">
        <f t="shared" si="7"/>
        <v>2976821</v>
      </c>
      <c r="U122" s="23">
        <f>+J122</f>
        <v>975976</v>
      </c>
      <c r="V122" s="23">
        <f t="shared" si="8"/>
        <v>0</v>
      </c>
      <c r="W122" s="23">
        <f t="shared" si="9"/>
        <v>3952797</v>
      </c>
      <c r="X122" s="23">
        <f t="shared" si="10"/>
        <v>0</v>
      </c>
      <c r="Y122" s="24">
        <f t="shared" si="11"/>
        <v>4.2168175776132556E-2</v>
      </c>
      <c r="Z122" s="17"/>
    </row>
    <row r="123" spans="1:26" x14ac:dyDescent="0.25">
      <c r="A123" s="1" t="s">
        <v>74</v>
      </c>
      <c r="B123" s="16">
        <v>114</v>
      </c>
      <c r="C123" s="16" t="s">
        <v>400</v>
      </c>
      <c r="D123" s="17" t="s">
        <v>401</v>
      </c>
      <c r="E123" s="17"/>
      <c r="F123" s="16" t="s">
        <v>155</v>
      </c>
      <c r="G123" s="16">
        <v>901</v>
      </c>
      <c r="H123" s="19" t="s">
        <v>402</v>
      </c>
      <c r="I123" s="26">
        <f>1619455-L123-M123</f>
        <v>1444355</v>
      </c>
      <c r="J123" s="26">
        <v>365733</v>
      </c>
      <c r="K123" s="26"/>
      <c r="L123" s="26">
        <f>125100+25000</f>
        <v>150100</v>
      </c>
      <c r="M123" s="26">
        <v>25000</v>
      </c>
      <c r="N123" s="26">
        <f t="shared" si="6"/>
        <v>1985188</v>
      </c>
      <c r="O123" s="22">
        <v>1444355</v>
      </c>
      <c r="P123" s="22">
        <f>+J123/9%*8%</f>
        <v>325096</v>
      </c>
      <c r="Q123" s="22"/>
      <c r="R123" s="22">
        <v>0</v>
      </c>
      <c r="S123" s="22"/>
      <c r="T123" s="22">
        <f t="shared" si="7"/>
        <v>1769451</v>
      </c>
      <c r="U123" s="23"/>
      <c r="V123" s="23">
        <f t="shared" si="8"/>
        <v>215737</v>
      </c>
      <c r="W123" s="23">
        <f t="shared" si="9"/>
        <v>1985188</v>
      </c>
      <c r="X123" s="23">
        <f t="shared" si="10"/>
        <v>0</v>
      </c>
      <c r="Y123" s="24">
        <f t="shared" si="11"/>
        <v>2.5065168780807959E-2</v>
      </c>
      <c r="Z123" s="17" t="s">
        <v>47</v>
      </c>
    </row>
    <row r="124" spans="1:26" x14ac:dyDescent="0.25">
      <c r="A124" s="1" t="s">
        <v>74</v>
      </c>
      <c r="B124" s="16">
        <v>115</v>
      </c>
      <c r="C124" s="16" t="s">
        <v>403</v>
      </c>
      <c r="D124" s="17" t="s">
        <v>404</v>
      </c>
      <c r="E124" s="17"/>
      <c r="F124" s="16" t="s">
        <v>82</v>
      </c>
      <c r="G124" s="16">
        <v>1401</v>
      </c>
      <c r="H124" s="19" t="s">
        <v>405</v>
      </c>
      <c r="I124" s="26">
        <v>2127770</v>
      </c>
      <c r="J124" s="26">
        <v>1932263</v>
      </c>
      <c r="K124" s="26"/>
      <c r="L124" s="26">
        <v>205100</v>
      </c>
      <c r="M124" s="26"/>
      <c r="N124" s="26">
        <f t="shared" si="6"/>
        <v>4265133</v>
      </c>
      <c r="O124" s="22">
        <v>2127770</v>
      </c>
      <c r="P124" s="22"/>
      <c r="Q124" s="22"/>
      <c r="R124" s="22">
        <v>0</v>
      </c>
      <c r="S124" s="22"/>
      <c r="T124" s="22">
        <f t="shared" si="7"/>
        <v>2127770</v>
      </c>
      <c r="U124" s="23">
        <f>+J124</f>
        <v>1932263</v>
      </c>
      <c r="V124" s="23">
        <f t="shared" si="8"/>
        <v>205100</v>
      </c>
      <c r="W124" s="23">
        <f t="shared" si="9"/>
        <v>4265133</v>
      </c>
      <c r="X124" s="23">
        <f t="shared" si="10"/>
        <v>0</v>
      </c>
      <c r="Y124" s="24">
        <f t="shared" si="11"/>
        <v>3.0140938730001423E-2</v>
      </c>
      <c r="Z124" s="17" t="s">
        <v>47</v>
      </c>
    </row>
    <row r="125" spans="1:26" ht="47.25" x14ac:dyDescent="0.25">
      <c r="A125" s="1" t="s">
        <v>74</v>
      </c>
      <c r="B125" s="16">
        <v>116</v>
      </c>
      <c r="C125" s="16" t="s">
        <v>406</v>
      </c>
      <c r="D125" s="17" t="s">
        <v>407</v>
      </c>
      <c r="E125" s="17"/>
      <c r="F125" s="16" t="s">
        <v>100</v>
      </c>
      <c r="G125" s="16">
        <v>1802</v>
      </c>
      <c r="H125" s="19" t="s">
        <v>408</v>
      </c>
      <c r="I125" s="26">
        <v>2700000</v>
      </c>
      <c r="J125" s="26"/>
      <c r="K125" s="26"/>
      <c r="L125" s="26"/>
      <c r="M125" s="26"/>
      <c r="N125" s="26">
        <f t="shared" si="6"/>
        <v>2700000</v>
      </c>
      <c r="O125" s="22">
        <v>1260823</v>
      </c>
      <c r="P125" s="22"/>
      <c r="Q125" s="22"/>
      <c r="R125" s="22">
        <v>0</v>
      </c>
      <c r="S125" s="22"/>
      <c r="T125" s="22">
        <f t="shared" si="7"/>
        <v>1260823</v>
      </c>
      <c r="U125" s="23">
        <v>1293877</v>
      </c>
      <c r="V125" s="23">
        <f t="shared" si="8"/>
        <v>145300</v>
      </c>
      <c r="W125" s="23">
        <f t="shared" si="9"/>
        <v>2700000</v>
      </c>
      <c r="X125" s="23">
        <f t="shared" si="10"/>
        <v>0</v>
      </c>
      <c r="Y125" s="24">
        <f t="shared" si="11"/>
        <v>1.7860195788255585E-2</v>
      </c>
      <c r="Z125" s="18" t="s">
        <v>64</v>
      </c>
    </row>
    <row r="126" spans="1:26" x14ac:dyDescent="0.25">
      <c r="A126" s="1" t="s">
        <v>74</v>
      </c>
      <c r="B126" s="16">
        <v>117</v>
      </c>
      <c r="C126" s="16" t="s">
        <v>409</v>
      </c>
      <c r="D126" s="17" t="s">
        <v>401</v>
      </c>
      <c r="E126" s="17"/>
      <c r="F126" s="16" t="s">
        <v>78</v>
      </c>
      <c r="G126" s="16">
        <v>16</v>
      </c>
      <c r="H126" s="19" t="s">
        <v>402</v>
      </c>
      <c r="I126" s="26">
        <v>1877569</v>
      </c>
      <c r="J126" s="26"/>
      <c r="K126" s="26"/>
      <c r="L126" s="26">
        <f>100100+20000</f>
        <v>120100</v>
      </c>
      <c r="M126" s="26">
        <v>25000</v>
      </c>
      <c r="N126" s="26">
        <f t="shared" si="6"/>
        <v>2022669</v>
      </c>
      <c r="O126" s="22">
        <v>1877569</v>
      </c>
      <c r="P126" s="22"/>
      <c r="Q126" s="22"/>
      <c r="R126" s="22">
        <v>0</v>
      </c>
      <c r="S126" s="22">
        <v>0</v>
      </c>
      <c r="T126" s="22">
        <f t="shared" si="7"/>
        <v>1877569</v>
      </c>
      <c r="U126" s="23"/>
      <c r="V126" s="23">
        <f t="shared" si="8"/>
        <v>145100</v>
      </c>
      <c r="W126" s="23">
        <f t="shared" si="9"/>
        <v>2022669</v>
      </c>
      <c r="X126" s="23">
        <f t="shared" si="10"/>
        <v>0</v>
      </c>
      <c r="Y126" s="24">
        <f t="shared" si="11"/>
        <v>2.6596714959958096E-2</v>
      </c>
      <c r="Z126" s="17" t="s">
        <v>47</v>
      </c>
    </row>
    <row r="127" spans="1:26" x14ac:dyDescent="0.25">
      <c r="A127" s="1" t="s">
        <v>25</v>
      </c>
      <c r="B127" s="16">
        <v>118</v>
      </c>
      <c r="C127" s="16" t="s">
        <v>410</v>
      </c>
      <c r="D127" s="17" t="s">
        <v>411</v>
      </c>
      <c r="E127" s="17"/>
      <c r="F127" s="16" t="s">
        <v>173</v>
      </c>
      <c r="G127" s="16">
        <v>112</v>
      </c>
      <c r="H127" s="19" t="s">
        <v>412</v>
      </c>
      <c r="I127" s="26">
        <f>831096+13686</f>
        <v>844782</v>
      </c>
      <c r="J127" s="26">
        <v>299714</v>
      </c>
      <c r="K127" s="26"/>
      <c r="L127" s="26">
        <f>73400+12230</f>
        <v>85630</v>
      </c>
      <c r="M127" s="26">
        <f>18000+20000</f>
        <v>38000</v>
      </c>
      <c r="N127" s="26">
        <f t="shared" si="6"/>
        <v>1268126</v>
      </c>
      <c r="O127" s="27">
        <f>1100+12586+831096</f>
        <v>844782</v>
      </c>
      <c r="P127" s="27">
        <f>+J127/11%*8%</f>
        <v>217973.81818181818</v>
      </c>
      <c r="Q127" s="27"/>
      <c r="R127" s="27">
        <v>0</v>
      </c>
      <c r="S127" s="27"/>
      <c r="T127" s="22">
        <f t="shared" si="7"/>
        <v>1062755.8181818181</v>
      </c>
      <c r="U127" s="23"/>
      <c r="V127" s="23">
        <f t="shared" si="8"/>
        <v>205370.18181818182</v>
      </c>
      <c r="W127" s="23">
        <f t="shared" si="9"/>
        <v>1268126</v>
      </c>
      <c r="X127" s="23">
        <f t="shared" si="10"/>
        <v>0</v>
      </c>
      <c r="Y127" s="24">
        <f t="shared" si="11"/>
        <v>1.5054473933165105E-2</v>
      </c>
      <c r="Z127" s="17" t="s">
        <v>47</v>
      </c>
    </row>
    <row r="128" spans="1:26" x14ac:dyDescent="0.25">
      <c r="A128" s="1" t="s">
        <v>25</v>
      </c>
      <c r="B128" s="16">
        <v>119</v>
      </c>
      <c r="C128" s="16" t="s">
        <v>413</v>
      </c>
      <c r="D128" s="17" t="s">
        <v>414</v>
      </c>
      <c r="E128" s="17"/>
      <c r="F128" s="16" t="s">
        <v>100</v>
      </c>
      <c r="G128" s="16">
        <v>1201</v>
      </c>
      <c r="H128" s="19" t="s">
        <v>415</v>
      </c>
      <c r="I128" s="26">
        <f>1020187+20900</f>
        <v>1041087</v>
      </c>
      <c r="J128" s="26">
        <v>450000</v>
      </c>
      <c r="K128" s="26"/>
      <c r="L128" s="26">
        <f>125000+20900</f>
        <v>145900</v>
      </c>
      <c r="M128" s="26">
        <f>18000+31000+163752+20000</f>
        <v>232752</v>
      </c>
      <c r="N128" s="26">
        <f t="shared" si="6"/>
        <v>1869739</v>
      </c>
      <c r="O128" s="27">
        <f>1020187+163752</f>
        <v>1183939</v>
      </c>
      <c r="P128" s="27">
        <v>450000</v>
      </c>
      <c r="Q128" s="27"/>
      <c r="R128" s="27">
        <v>0</v>
      </c>
      <c r="S128" s="27"/>
      <c r="T128" s="22">
        <f t="shared" si="7"/>
        <v>1633939</v>
      </c>
      <c r="U128" s="23"/>
      <c r="V128" s="23">
        <f t="shared" si="8"/>
        <v>235800</v>
      </c>
      <c r="W128" s="23">
        <f t="shared" si="9"/>
        <v>1869739</v>
      </c>
      <c r="X128" s="23">
        <f t="shared" si="10"/>
        <v>0</v>
      </c>
      <c r="Y128" s="24">
        <f t="shared" si="11"/>
        <v>2.3145572729928423E-2</v>
      </c>
      <c r="Z128" s="17" t="s">
        <v>47</v>
      </c>
    </row>
    <row r="129" spans="1:26" x14ac:dyDescent="0.25">
      <c r="A129" s="1" t="s">
        <v>25</v>
      </c>
      <c r="B129" s="16">
        <v>120</v>
      </c>
      <c r="C129" s="16" t="s">
        <v>416</v>
      </c>
      <c r="D129" s="17" t="s">
        <v>327</v>
      </c>
      <c r="E129" s="17"/>
      <c r="F129" s="16" t="s">
        <v>100</v>
      </c>
      <c r="G129" s="16">
        <v>1402</v>
      </c>
      <c r="H129" s="19" t="s">
        <v>417</v>
      </c>
      <c r="I129" s="26">
        <f>348017+973373</f>
        <v>1321390</v>
      </c>
      <c r="J129" s="26">
        <v>342660</v>
      </c>
      <c r="K129" s="26"/>
      <c r="L129" s="26">
        <f>118100+19700</f>
        <v>137800</v>
      </c>
      <c r="M129" s="26">
        <f>18000+31216+280000</f>
        <v>329216</v>
      </c>
      <c r="N129" s="26">
        <f t="shared" si="6"/>
        <v>2131066</v>
      </c>
      <c r="O129" s="27">
        <f>255193+23043+565793+69781+407580</f>
        <v>1321390</v>
      </c>
      <c r="P129" s="27">
        <f>+J129/11.8%*8%</f>
        <v>232311.86440677964</v>
      </c>
      <c r="Q129" s="27"/>
      <c r="R129" s="27">
        <v>0</v>
      </c>
      <c r="S129" s="27"/>
      <c r="T129" s="22">
        <f t="shared" si="7"/>
        <v>1553701.8644067796</v>
      </c>
      <c r="U129" s="23"/>
      <c r="V129" s="23">
        <f t="shared" si="8"/>
        <v>577364.13559322036</v>
      </c>
      <c r="W129" s="23">
        <f t="shared" si="9"/>
        <v>2131066</v>
      </c>
      <c r="X129" s="23">
        <f t="shared" si="10"/>
        <v>0</v>
      </c>
      <c r="Y129" s="24">
        <f t="shared" si="11"/>
        <v>2.2008973103189593E-2</v>
      </c>
      <c r="Z129" s="17" t="s">
        <v>47</v>
      </c>
    </row>
    <row r="130" spans="1:26" x14ac:dyDescent="0.25">
      <c r="A130" s="1" t="s">
        <v>25</v>
      </c>
      <c r="B130" s="16">
        <v>121</v>
      </c>
      <c r="C130" s="16" t="s">
        <v>418</v>
      </c>
      <c r="D130" s="17" t="s">
        <v>419</v>
      </c>
      <c r="E130" s="17"/>
      <c r="F130" s="16" t="s">
        <v>168</v>
      </c>
      <c r="G130" s="16">
        <v>105</v>
      </c>
      <c r="H130" s="19" t="s">
        <v>420</v>
      </c>
      <c r="I130" s="26">
        <f>25000+136110+8282+440685</f>
        <v>610077</v>
      </c>
      <c r="J130" s="26">
        <v>109814</v>
      </c>
      <c r="K130" s="26"/>
      <c r="L130" s="26"/>
      <c r="M130" s="26"/>
      <c r="N130" s="26">
        <f t="shared" si="6"/>
        <v>719891</v>
      </c>
      <c r="O130" s="27">
        <f>440685+25000+136110</f>
        <v>601795</v>
      </c>
      <c r="P130" s="27"/>
      <c r="Q130" s="27"/>
      <c r="R130" s="27"/>
      <c r="S130" s="27"/>
      <c r="T130" s="22">
        <f t="shared" si="7"/>
        <v>601795</v>
      </c>
      <c r="U130" s="23"/>
      <c r="V130" s="23">
        <f t="shared" si="8"/>
        <v>118096</v>
      </c>
      <c r="W130" s="23">
        <f t="shared" si="9"/>
        <v>719891</v>
      </c>
      <c r="X130" s="23">
        <f t="shared" si="10"/>
        <v>0</v>
      </c>
      <c r="Y130" s="24">
        <f t="shared" si="11"/>
        <v>8.5247306912970885E-3</v>
      </c>
      <c r="Z130" s="17" t="s">
        <v>47</v>
      </c>
    </row>
    <row r="131" spans="1:26" x14ac:dyDescent="0.25">
      <c r="A131" s="1" t="s">
        <v>25</v>
      </c>
      <c r="B131" s="16">
        <v>122</v>
      </c>
      <c r="C131" s="16" t="s">
        <v>421</v>
      </c>
      <c r="D131" s="17" t="s">
        <v>422</v>
      </c>
      <c r="E131" s="17"/>
      <c r="F131" s="16" t="s">
        <v>100</v>
      </c>
      <c r="G131" s="16">
        <v>1403</v>
      </c>
      <c r="H131" s="19" t="s">
        <v>423</v>
      </c>
      <c r="I131" s="26">
        <v>746819</v>
      </c>
      <c r="J131" s="26"/>
      <c r="K131" s="26"/>
      <c r="L131" s="26"/>
      <c r="M131" s="26"/>
      <c r="N131" s="26">
        <f t="shared" si="6"/>
        <v>746819</v>
      </c>
      <c r="O131" s="27">
        <v>746819</v>
      </c>
      <c r="P131" s="27"/>
      <c r="Q131" s="27"/>
      <c r="R131" s="27"/>
      <c r="S131" s="27"/>
      <c r="T131" s="22">
        <f t="shared" si="7"/>
        <v>746819</v>
      </c>
      <c r="U131" s="23"/>
      <c r="V131" s="23">
        <f t="shared" si="8"/>
        <v>0</v>
      </c>
      <c r="W131" s="23">
        <f t="shared" si="9"/>
        <v>746819</v>
      </c>
      <c r="X131" s="23">
        <f t="shared" si="10"/>
        <v>0</v>
      </c>
      <c r="Y131" s="24">
        <f t="shared" si="11"/>
        <v>1.0579069035375503E-2</v>
      </c>
      <c r="Z131" s="17" t="s">
        <v>47</v>
      </c>
    </row>
    <row r="132" spans="1:26" x14ac:dyDescent="0.25">
      <c r="A132" s="1" t="s">
        <v>25</v>
      </c>
      <c r="B132" s="16">
        <v>123</v>
      </c>
      <c r="C132" s="16" t="s">
        <v>424</v>
      </c>
      <c r="D132" s="17" t="s">
        <v>425</v>
      </c>
      <c r="E132" s="17"/>
      <c r="F132" s="16" t="s">
        <v>155</v>
      </c>
      <c r="G132" s="16">
        <v>1502</v>
      </c>
      <c r="H132" s="19" t="s">
        <v>426</v>
      </c>
      <c r="I132" s="26">
        <v>985333</v>
      </c>
      <c r="J132" s="26"/>
      <c r="K132" s="26"/>
      <c r="L132" s="26"/>
      <c r="M132" s="26"/>
      <c r="N132" s="26">
        <f t="shared" si="6"/>
        <v>985333</v>
      </c>
      <c r="O132" s="27">
        <v>985333</v>
      </c>
      <c r="P132" s="27"/>
      <c r="Q132" s="27"/>
      <c r="R132" s="27"/>
      <c r="S132" s="27"/>
      <c r="T132" s="22">
        <f t="shared" si="7"/>
        <v>985333</v>
      </c>
      <c r="U132" s="23"/>
      <c r="V132" s="23">
        <f t="shared" si="8"/>
        <v>0</v>
      </c>
      <c r="W132" s="23">
        <f t="shared" si="9"/>
        <v>985333</v>
      </c>
      <c r="X132" s="23">
        <f t="shared" si="10"/>
        <v>0</v>
      </c>
      <c r="Y132" s="24">
        <f t="shared" si="11"/>
        <v>1.3957740536640941E-2</v>
      </c>
      <c r="Z132" s="17" t="s">
        <v>42</v>
      </c>
    </row>
    <row r="133" spans="1:26" ht="47.25" x14ac:dyDescent="0.25">
      <c r="A133" s="1" t="s">
        <v>25</v>
      </c>
      <c r="B133" s="16">
        <v>124</v>
      </c>
      <c r="C133" s="16" t="s">
        <v>427</v>
      </c>
      <c r="D133" s="17" t="s">
        <v>428</v>
      </c>
      <c r="E133" s="17"/>
      <c r="F133" s="16" t="s">
        <v>78</v>
      </c>
      <c r="G133" s="16">
        <v>516</v>
      </c>
      <c r="H133" s="19" t="s">
        <v>429</v>
      </c>
      <c r="I133" s="26">
        <v>787319</v>
      </c>
      <c r="J133" s="26">
        <v>939377</v>
      </c>
      <c r="K133" s="26"/>
      <c r="L133" s="26"/>
      <c r="M133" s="26"/>
      <c r="N133" s="26">
        <f t="shared" si="6"/>
        <v>1726696</v>
      </c>
      <c r="O133" s="27">
        <f>167955+87758+135723</f>
        <v>391436</v>
      </c>
      <c r="P133" s="27">
        <f>+J133/18%*8%</f>
        <v>417500.88888888888</v>
      </c>
      <c r="Q133" s="27"/>
      <c r="R133" s="27"/>
      <c r="S133" s="27"/>
      <c r="T133" s="22">
        <f t="shared" si="7"/>
        <v>808936.88888888888</v>
      </c>
      <c r="U133" s="23"/>
      <c r="V133" s="23">
        <f t="shared" si="8"/>
        <v>917759.11111111112</v>
      </c>
      <c r="W133" s="23">
        <f t="shared" si="9"/>
        <v>1726696</v>
      </c>
      <c r="X133" s="23">
        <f t="shared" si="10"/>
        <v>0</v>
      </c>
      <c r="Y133" s="24">
        <f t="shared" si="11"/>
        <v>1.1459000363966956E-2</v>
      </c>
      <c r="Z133" s="18" t="s">
        <v>64</v>
      </c>
    </row>
    <row r="134" spans="1:26" x14ac:dyDescent="0.25">
      <c r="A134" s="1" t="s">
        <v>25</v>
      </c>
      <c r="B134" s="16">
        <v>125</v>
      </c>
      <c r="C134" s="16" t="s">
        <v>430</v>
      </c>
      <c r="D134" s="17" t="s">
        <v>431</v>
      </c>
      <c r="E134" s="17"/>
      <c r="F134" s="16" t="s">
        <v>35</v>
      </c>
      <c r="G134" s="16">
        <v>1603</v>
      </c>
      <c r="H134" s="19" t="s">
        <v>432</v>
      </c>
      <c r="I134" s="26">
        <v>1311368</v>
      </c>
      <c r="J134" s="26"/>
      <c r="K134" s="26"/>
      <c r="L134" s="26"/>
      <c r="M134" s="26"/>
      <c r="N134" s="26">
        <f t="shared" si="6"/>
        <v>1311368</v>
      </c>
      <c r="O134" s="27">
        <v>1311368</v>
      </c>
      <c r="P134" s="27"/>
      <c r="Q134" s="27"/>
      <c r="R134" s="27"/>
      <c r="S134" s="27"/>
      <c r="T134" s="22">
        <f t="shared" si="7"/>
        <v>1311368</v>
      </c>
      <c r="U134" s="23"/>
      <c r="V134" s="23">
        <f t="shared" si="8"/>
        <v>0</v>
      </c>
      <c r="W134" s="23">
        <f t="shared" si="9"/>
        <v>1311368</v>
      </c>
      <c r="X134" s="23">
        <f t="shared" si="10"/>
        <v>0</v>
      </c>
      <c r="Y134" s="24">
        <f t="shared" si="11"/>
        <v>1.8576191289699784E-2</v>
      </c>
      <c r="Z134" s="17" t="s">
        <v>42</v>
      </c>
    </row>
    <row r="135" spans="1:26" x14ac:dyDescent="0.25">
      <c r="A135" s="1" t="s">
        <v>25</v>
      </c>
      <c r="B135" s="16">
        <v>126</v>
      </c>
      <c r="C135" s="16" t="s">
        <v>433</v>
      </c>
      <c r="D135" s="17" t="s">
        <v>434</v>
      </c>
      <c r="E135" s="17"/>
      <c r="F135" s="16" t="s">
        <v>35</v>
      </c>
      <c r="G135" s="16">
        <v>1604</v>
      </c>
      <c r="H135" s="19" t="s">
        <v>432</v>
      </c>
      <c r="I135" s="26">
        <v>1311368</v>
      </c>
      <c r="J135" s="26"/>
      <c r="K135" s="26"/>
      <c r="L135" s="26"/>
      <c r="M135" s="26"/>
      <c r="N135" s="26">
        <f t="shared" si="6"/>
        <v>1311368</v>
      </c>
      <c r="O135" s="27">
        <v>1311368</v>
      </c>
      <c r="P135" s="27"/>
      <c r="Q135" s="27"/>
      <c r="R135" s="27"/>
      <c r="S135" s="27"/>
      <c r="T135" s="22">
        <f t="shared" si="7"/>
        <v>1311368</v>
      </c>
      <c r="U135" s="23"/>
      <c r="V135" s="23">
        <f t="shared" si="8"/>
        <v>0</v>
      </c>
      <c r="W135" s="23">
        <f t="shared" si="9"/>
        <v>1311368</v>
      </c>
      <c r="X135" s="23">
        <f t="shared" si="10"/>
        <v>0</v>
      </c>
      <c r="Y135" s="24">
        <f t="shared" si="11"/>
        <v>1.8576191289699784E-2</v>
      </c>
      <c r="Z135" s="17" t="s">
        <v>42</v>
      </c>
    </row>
    <row r="136" spans="1:26" ht="47.25" x14ac:dyDescent="0.25">
      <c r="A136" s="1" t="s">
        <v>25</v>
      </c>
      <c r="B136" s="16">
        <v>127</v>
      </c>
      <c r="C136" s="16" t="s">
        <v>435</v>
      </c>
      <c r="D136" s="17" t="s">
        <v>436</v>
      </c>
      <c r="E136" s="17"/>
      <c r="F136" s="16" t="s">
        <v>155</v>
      </c>
      <c r="G136" s="16">
        <v>807</v>
      </c>
      <c r="H136" s="19" t="s">
        <v>437</v>
      </c>
      <c r="I136" s="26">
        <v>2147110</v>
      </c>
      <c r="J136" s="26"/>
      <c r="K136" s="26"/>
      <c r="L136" s="26"/>
      <c r="M136" s="26"/>
      <c r="N136" s="26">
        <f t="shared" si="6"/>
        <v>2147110</v>
      </c>
      <c r="O136" s="27">
        <f>170000+108772+140000+127623+200898+100000+250000+250000+250000+150000+100000</f>
        <v>1847293</v>
      </c>
      <c r="P136" s="27"/>
      <c r="Q136" s="27"/>
      <c r="R136" s="27"/>
      <c r="S136" s="27"/>
      <c r="T136" s="22">
        <f t="shared" si="7"/>
        <v>1847293</v>
      </c>
      <c r="U136" s="23"/>
      <c r="V136" s="23">
        <f t="shared" si="8"/>
        <v>299817</v>
      </c>
      <c r="W136" s="23">
        <f t="shared" si="9"/>
        <v>2147110</v>
      </c>
      <c r="X136" s="23">
        <f t="shared" si="10"/>
        <v>0</v>
      </c>
      <c r="Y136" s="24">
        <f t="shared" si="11"/>
        <v>2.6167840099898261E-2</v>
      </c>
      <c r="Z136" s="18" t="s">
        <v>64</v>
      </c>
    </row>
    <row r="137" spans="1:26" ht="47.25" x14ac:dyDescent="0.25">
      <c r="A137" s="1" t="s">
        <v>25</v>
      </c>
      <c r="B137" s="16">
        <v>128</v>
      </c>
      <c r="C137" s="16" t="s">
        <v>438</v>
      </c>
      <c r="D137" s="17" t="s">
        <v>439</v>
      </c>
      <c r="E137" s="17"/>
      <c r="F137" s="16" t="s">
        <v>440</v>
      </c>
      <c r="G137" s="16">
        <v>1701</v>
      </c>
      <c r="H137" s="19" t="s">
        <v>441</v>
      </c>
      <c r="I137" s="26">
        <v>1553399</v>
      </c>
      <c r="J137" s="26">
        <v>0</v>
      </c>
      <c r="K137" s="26"/>
      <c r="L137" s="26"/>
      <c r="M137" s="26"/>
      <c r="N137" s="26">
        <f t="shared" si="6"/>
        <v>1553399</v>
      </c>
      <c r="O137" s="27">
        <f>64056+21841+154503</f>
        <v>240400</v>
      </c>
      <c r="P137" s="27"/>
      <c r="Q137" s="27"/>
      <c r="R137" s="27"/>
      <c r="S137" s="27"/>
      <c r="T137" s="22">
        <f t="shared" si="7"/>
        <v>240400</v>
      </c>
      <c r="U137" s="23"/>
      <c r="V137" s="23">
        <f t="shared" si="8"/>
        <v>1312999</v>
      </c>
      <c r="W137" s="23">
        <f t="shared" si="9"/>
        <v>1553399</v>
      </c>
      <c r="X137" s="23">
        <f t="shared" si="10"/>
        <v>0</v>
      </c>
      <c r="Y137" s="24">
        <f t="shared" si="11"/>
        <v>3.405387645606594E-3</v>
      </c>
      <c r="Z137" s="18" t="s">
        <v>64</v>
      </c>
    </row>
    <row r="138" spans="1:26" x14ac:dyDescent="0.25">
      <c r="A138" s="1" t="s">
        <v>25</v>
      </c>
      <c r="B138" s="16">
        <v>129</v>
      </c>
      <c r="C138" s="16" t="s">
        <v>442</v>
      </c>
      <c r="D138" s="17" t="s">
        <v>372</v>
      </c>
      <c r="E138" s="17"/>
      <c r="F138" s="16" t="s">
        <v>35</v>
      </c>
      <c r="G138" s="16">
        <v>304</v>
      </c>
      <c r="H138" s="19" t="s">
        <v>373</v>
      </c>
      <c r="I138" s="26">
        <v>1100328</v>
      </c>
      <c r="J138" s="26">
        <v>99030</v>
      </c>
      <c r="K138" s="26"/>
      <c r="L138" s="26"/>
      <c r="M138" s="26"/>
      <c r="N138" s="26">
        <f t="shared" si="6"/>
        <v>1199358</v>
      </c>
      <c r="O138" s="27">
        <f>700328+400000</f>
        <v>1100328</v>
      </c>
      <c r="P138" s="27">
        <f>+J138/9%*8%</f>
        <v>88026.666666666686</v>
      </c>
      <c r="Q138" s="27"/>
      <c r="R138" s="27"/>
      <c r="S138" s="27"/>
      <c r="T138" s="22">
        <f t="shared" si="7"/>
        <v>1188354.6666666667</v>
      </c>
      <c r="U138" s="23"/>
      <c r="V138" s="23">
        <f t="shared" si="8"/>
        <v>11003.333333333314</v>
      </c>
      <c r="W138" s="23">
        <f t="shared" si="9"/>
        <v>1199358</v>
      </c>
      <c r="X138" s="23">
        <f t="shared" si="10"/>
        <v>0</v>
      </c>
      <c r="Y138" s="24">
        <f t="shared" si="11"/>
        <v>1.6833645176645626E-2</v>
      </c>
      <c r="Z138" s="17" t="s">
        <v>47</v>
      </c>
    </row>
    <row r="139" spans="1:26" ht="47.25" x14ac:dyDescent="0.25">
      <c r="A139" s="1" t="s">
        <v>25</v>
      </c>
      <c r="B139" s="16">
        <v>130</v>
      </c>
      <c r="C139" s="16" t="s">
        <v>443</v>
      </c>
      <c r="D139" s="17" t="s">
        <v>444</v>
      </c>
      <c r="E139" s="17"/>
      <c r="F139" s="16" t="s">
        <v>82</v>
      </c>
      <c r="G139" s="32" t="s">
        <v>445</v>
      </c>
      <c r="H139" s="19" t="s">
        <v>446</v>
      </c>
      <c r="I139" s="26">
        <f>612400+1011077+725000</f>
        <v>2348477</v>
      </c>
      <c r="J139" s="26"/>
      <c r="K139" s="26"/>
      <c r="L139" s="26"/>
      <c r="M139" s="26"/>
      <c r="N139" s="26">
        <f t="shared" ref="N139:N195" si="12">SUM(I139:M139)</f>
        <v>2348477</v>
      </c>
      <c r="O139" s="27">
        <v>2348477</v>
      </c>
      <c r="P139" s="27"/>
      <c r="Q139" s="27"/>
      <c r="R139" s="27"/>
      <c r="S139" s="27"/>
      <c r="T139" s="22">
        <f t="shared" ref="T139:T195" si="13">SUM(O139:S139)</f>
        <v>2348477</v>
      </c>
      <c r="U139" s="23"/>
      <c r="V139" s="23">
        <f t="shared" ref="V139:V195" si="14">+(I139-O139)+(J139-P139)+K139+L139+M139-U139</f>
        <v>0</v>
      </c>
      <c r="W139" s="23">
        <f t="shared" ref="W139:W195" si="15">+T139+V139+U139</f>
        <v>2348477</v>
      </c>
      <c r="X139" s="23">
        <f t="shared" ref="X139:X195" si="16">+W139-N139</f>
        <v>0</v>
      </c>
      <c r="Y139" s="24">
        <f t="shared" ref="Y139:Y195" si="17">+T139*$Y$196/$T$196</f>
        <v>3.3267365065687338E-2</v>
      </c>
      <c r="Z139" s="18" t="s">
        <v>64</v>
      </c>
    </row>
    <row r="140" spans="1:26" x14ac:dyDescent="0.25">
      <c r="A140" s="1" t="s">
        <v>25</v>
      </c>
      <c r="B140" s="16">
        <v>131</v>
      </c>
      <c r="C140" s="16" t="s">
        <v>447</v>
      </c>
      <c r="D140" s="17" t="s">
        <v>448</v>
      </c>
      <c r="E140" s="17"/>
      <c r="F140" s="16" t="s">
        <v>449</v>
      </c>
      <c r="G140" s="16">
        <v>208</v>
      </c>
      <c r="H140" s="19" t="s">
        <v>450</v>
      </c>
      <c r="I140" s="26">
        <v>421610</v>
      </c>
      <c r="J140" s="26">
        <v>470489</v>
      </c>
      <c r="K140" s="26"/>
      <c r="L140" s="26"/>
      <c r="M140" s="26"/>
      <c r="N140" s="26">
        <f t="shared" si="12"/>
        <v>892099</v>
      </c>
      <c r="O140" s="27">
        <f>24610+5000+105000+140000+140000</f>
        <v>414610</v>
      </c>
      <c r="P140" s="27">
        <f>+J140/9%*8%</f>
        <v>418212.4444444445</v>
      </c>
      <c r="Q140" s="27"/>
      <c r="R140" s="27"/>
      <c r="S140" s="27"/>
      <c r="T140" s="22">
        <f t="shared" si="13"/>
        <v>832822.4444444445</v>
      </c>
      <c r="U140" s="23"/>
      <c r="V140" s="23">
        <f t="shared" si="14"/>
        <v>59276.555555555504</v>
      </c>
      <c r="W140" s="23">
        <f t="shared" si="15"/>
        <v>892099</v>
      </c>
      <c r="X140" s="23">
        <f t="shared" si="16"/>
        <v>0</v>
      </c>
      <c r="Y140" s="24">
        <f t="shared" si="17"/>
        <v>1.1797351344821112E-2</v>
      </c>
      <c r="Z140" s="17" t="s">
        <v>47</v>
      </c>
    </row>
    <row r="141" spans="1:26" ht="47.25" x14ac:dyDescent="0.25">
      <c r="A141" s="1" t="s">
        <v>25</v>
      </c>
      <c r="B141" s="16">
        <v>132</v>
      </c>
      <c r="C141" s="16" t="s">
        <v>451</v>
      </c>
      <c r="D141" s="17" t="s">
        <v>452</v>
      </c>
      <c r="E141" s="17"/>
      <c r="F141" s="16" t="s">
        <v>181</v>
      </c>
      <c r="G141" s="16">
        <v>1102</v>
      </c>
      <c r="H141" s="19" t="s">
        <v>453</v>
      </c>
      <c r="I141" s="26">
        <v>2700000</v>
      </c>
      <c r="J141" s="26"/>
      <c r="K141" s="26"/>
      <c r="L141" s="26">
        <v>213350</v>
      </c>
      <c r="M141" s="26">
        <v>18000</v>
      </c>
      <c r="N141" s="26">
        <f t="shared" si="12"/>
        <v>2931350</v>
      </c>
      <c r="O141" s="27">
        <v>2700000</v>
      </c>
      <c r="P141" s="27"/>
      <c r="Q141" s="27"/>
      <c r="R141" s="27">
        <v>0</v>
      </c>
      <c r="S141" s="27"/>
      <c r="T141" s="22">
        <f t="shared" si="13"/>
        <v>2700000</v>
      </c>
      <c r="U141" s="23"/>
      <c r="V141" s="23">
        <f t="shared" si="14"/>
        <v>231350</v>
      </c>
      <c r="W141" s="23">
        <f t="shared" si="15"/>
        <v>2931350</v>
      </c>
      <c r="X141" s="23">
        <f t="shared" si="16"/>
        <v>0</v>
      </c>
      <c r="Y141" s="24">
        <f t="shared" si="17"/>
        <v>3.8246866236014157E-2</v>
      </c>
      <c r="Z141" s="18" t="s">
        <v>64</v>
      </c>
    </row>
    <row r="142" spans="1:26" x14ac:dyDescent="0.25">
      <c r="A142" s="1" t="s">
        <v>25</v>
      </c>
      <c r="B142" s="16">
        <v>133</v>
      </c>
      <c r="C142" s="16" t="s">
        <v>454</v>
      </c>
      <c r="D142" s="17" t="s">
        <v>455</v>
      </c>
      <c r="E142" s="17"/>
      <c r="F142" s="16" t="s">
        <v>168</v>
      </c>
      <c r="G142" s="16">
        <v>502</v>
      </c>
      <c r="H142" s="19" t="s">
        <v>456</v>
      </c>
      <c r="I142" s="26">
        <v>578998</v>
      </c>
      <c r="J142" s="26">
        <v>267397</v>
      </c>
      <c r="K142" s="26"/>
      <c r="L142" s="26"/>
      <c r="M142" s="26"/>
      <c r="N142" s="26">
        <f t="shared" si="12"/>
        <v>846395</v>
      </c>
      <c r="O142" s="27">
        <f>50000+82608+32608+8261+74761+330760</f>
        <v>578998</v>
      </c>
      <c r="P142" s="27">
        <f>+J142/9.25%*8%</f>
        <v>231262.27027027027</v>
      </c>
      <c r="Q142" s="27"/>
      <c r="R142" s="27"/>
      <c r="S142" s="27"/>
      <c r="T142" s="22">
        <f t="shared" si="13"/>
        <v>810260.2702702703</v>
      </c>
      <c r="U142" s="23"/>
      <c r="V142" s="23">
        <f t="shared" si="14"/>
        <v>36134.729729729734</v>
      </c>
      <c r="W142" s="23">
        <f t="shared" si="15"/>
        <v>846395</v>
      </c>
      <c r="X142" s="23">
        <f t="shared" si="16"/>
        <v>0</v>
      </c>
      <c r="Y142" s="24">
        <f t="shared" si="17"/>
        <v>1.1477746730882855E-2</v>
      </c>
      <c r="Z142" s="17" t="s">
        <v>47</v>
      </c>
    </row>
    <row r="143" spans="1:26" ht="47.25" x14ac:dyDescent="0.25">
      <c r="A143" s="1" t="s">
        <v>25</v>
      </c>
      <c r="B143" s="16">
        <v>134</v>
      </c>
      <c r="C143" s="16" t="s">
        <v>457</v>
      </c>
      <c r="D143" s="17" t="s">
        <v>458</v>
      </c>
      <c r="E143" s="17"/>
      <c r="F143" s="16" t="s">
        <v>181</v>
      </c>
      <c r="G143" s="16">
        <v>1302</v>
      </c>
      <c r="H143" s="19" t="s">
        <v>459</v>
      </c>
      <c r="I143" s="26">
        <v>2700000</v>
      </c>
      <c r="J143" s="26"/>
      <c r="K143" s="26"/>
      <c r="L143" s="26">
        <f>213350+18000</f>
        <v>231350</v>
      </c>
      <c r="M143" s="26"/>
      <c r="N143" s="26">
        <f t="shared" si="12"/>
        <v>2931350</v>
      </c>
      <c r="O143" s="27">
        <v>2700000</v>
      </c>
      <c r="P143" s="27"/>
      <c r="Q143" s="27"/>
      <c r="R143" s="27">
        <v>0</v>
      </c>
      <c r="S143" s="27"/>
      <c r="T143" s="22">
        <f t="shared" si="13"/>
        <v>2700000</v>
      </c>
      <c r="U143" s="23"/>
      <c r="V143" s="23">
        <f t="shared" si="14"/>
        <v>231350</v>
      </c>
      <c r="W143" s="23">
        <f t="shared" si="15"/>
        <v>2931350</v>
      </c>
      <c r="X143" s="23">
        <f t="shared" si="16"/>
        <v>0</v>
      </c>
      <c r="Y143" s="24">
        <f t="shared" si="17"/>
        <v>3.8246866236014157E-2</v>
      </c>
      <c r="Z143" s="18" t="s">
        <v>64</v>
      </c>
    </row>
    <row r="144" spans="1:26" ht="47.25" x14ac:dyDescent="0.25">
      <c r="A144" s="1" t="s">
        <v>25</v>
      </c>
      <c r="B144" s="16">
        <v>135</v>
      </c>
      <c r="C144" s="16" t="s">
        <v>460</v>
      </c>
      <c r="D144" s="17" t="s">
        <v>461</v>
      </c>
      <c r="E144" s="17"/>
      <c r="F144" s="16" t="s">
        <v>168</v>
      </c>
      <c r="G144" s="16">
        <v>704</v>
      </c>
      <c r="H144" s="19" t="s">
        <v>437</v>
      </c>
      <c r="I144" s="26">
        <v>963463</v>
      </c>
      <c r="J144" s="26"/>
      <c r="K144" s="26"/>
      <c r="L144" s="26"/>
      <c r="M144" s="26"/>
      <c r="N144" s="26">
        <f t="shared" si="12"/>
        <v>963463</v>
      </c>
      <c r="O144" s="27">
        <f>100000+98000+100000+98000+125000+100000+25000</f>
        <v>646000</v>
      </c>
      <c r="P144" s="27"/>
      <c r="Q144" s="27"/>
      <c r="R144" s="27"/>
      <c r="S144" s="27"/>
      <c r="T144" s="22">
        <f t="shared" si="13"/>
        <v>646000</v>
      </c>
      <c r="U144" s="23"/>
      <c r="V144" s="23">
        <f t="shared" si="14"/>
        <v>317463</v>
      </c>
      <c r="W144" s="23">
        <f t="shared" si="15"/>
        <v>963463</v>
      </c>
      <c r="X144" s="23">
        <f t="shared" si="16"/>
        <v>0</v>
      </c>
      <c r="Y144" s="24">
        <f t="shared" si="17"/>
        <v>9.1509168846167204E-3</v>
      </c>
      <c r="Z144" s="18" t="s">
        <v>64</v>
      </c>
    </row>
    <row r="145" spans="1:26" x14ac:dyDescent="0.25">
      <c r="A145" s="1" t="s">
        <v>25</v>
      </c>
      <c r="B145" s="16">
        <v>136</v>
      </c>
      <c r="C145" s="16" t="s">
        <v>462</v>
      </c>
      <c r="D145" s="17" t="s">
        <v>463</v>
      </c>
      <c r="E145" s="17"/>
      <c r="F145" s="16" t="s">
        <v>181</v>
      </c>
      <c r="G145" s="16">
        <v>1405</v>
      </c>
      <c r="H145" s="19" t="s">
        <v>464</v>
      </c>
      <c r="I145" s="26">
        <f>6276037-207100-4080737</f>
        <v>1988200</v>
      </c>
      <c r="J145" s="26">
        <f>548014+3532723</f>
        <v>4080737</v>
      </c>
      <c r="K145" s="26"/>
      <c r="L145" s="26">
        <f>177100+30000</f>
        <v>207100</v>
      </c>
      <c r="M145" s="26"/>
      <c r="N145" s="26">
        <f t="shared" si="12"/>
        <v>6276037</v>
      </c>
      <c r="O145" s="27">
        <f>1364668+54000+360000+209632-100</f>
        <v>1988200</v>
      </c>
      <c r="P145" s="27">
        <f>J145/18%*8%</f>
        <v>1813660.888888889</v>
      </c>
      <c r="Q145" s="27"/>
      <c r="R145" s="27">
        <v>0</v>
      </c>
      <c r="S145" s="27"/>
      <c r="T145" s="22">
        <f t="shared" si="13"/>
        <v>3801860.888888889</v>
      </c>
      <c r="U145" s="23"/>
      <c r="V145" s="23">
        <f t="shared" si="14"/>
        <v>2474176.111111111</v>
      </c>
      <c r="W145" s="23">
        <f t="shared" si="15"/>
        <v>6276037</v>
      </c>
      <c r="X145" s="23">
        <f t="shared" si="16"/>
        <v>0</v>
      </c>
      <c r="Y145" s="24">
        <f t="shared" si="17"/>
        <v>5.3855283283432309E-2</v>
      </c>
      <c r="Z145" s="17"/>
    </row>
    <row r="146" spans="1:26" x14ac:dyDescent="0.25">
      <c r="A146" s="1" t="s">
        <v>25</v>
      </c>
      <c r="B146" s="16">
        <v>137</v>
      </c>
      <c r="C146" s="16" t="s">
        <v>465</v>
      </c>
      <c r="D146" s="17" t="s">
        <v>466</v>
      </c>
      <c r="E146" s="17"/>
      <c r="F146" s="16"/>
      <c r="G146" s="16"/>
      <c r="H146" s="19" t="s">
        <v>467</v>
      </c>
      <c r="I146" s="26">
        <v>1183932</v>
      </c>
      <c r="J146" s="26"/>
      <c r="K146" s="26"/>
      <c r="L146" s="26"/>
      <c r="M146" s="26"/>
      <c r="N146" s="26">
        <f t="shared" si="12"/>
        <v>1183932</v>
      </c>
      <c r="O146" s="27">
        <f>1065572+105678+12682</f>
        <v>1183932</v>
      </c>
      <c r="P146" s="27"/>
      <c r="Q146" s="27"/>
      <c r="R146" s="27"/>
      <c r="S146" s="27"/>
      <c r="T146" s="22">
        <f t="shared" si="13"/>
        <v>1183932</v>
      </c>
      <c r="U146" s="23"/>
      <c r="V146" s="23">
        <f t="shared" si="14"/>
        <v>0</v>
      </c>
      <c r="W146" s="23">
        <f t="shared" si="15"/>
        <v>1183932</v>
      </c>
      <c r="X146" s="23">
        <f t="shared" si="16"/>
        <v>0</v>
      </c>
      <c r="Y146" s="24">
        <f t="shared" si="17"/>
        <v>1.677099586538397E-2</v>
      </c>
      <c r="Z146" s="17"/>
    </row>
    <row r="147" spans="1:26" x14ac:dyDescent="0.25">
      <c r="A147" s="1" t="s">
        <v>25</v>
      </c>
      <c r="B147" s="16">
        <v>138</v>
      </c>
      <c r="C147" s="16" t="s">
        <v>468</v>
      </c>
      <c r="D147" s="17" t="s">
        <v>469</v>
      </c>
      <c r="E147" s="17"/>
      <c r="F147" s="16" t="s">
        <v>35</v>
      </c>
      <c r="G147" s="16">
        <v>1708</v>
      </c>
      <c r="H147" s="19" t="s">
        <v>470</v>
      </c>
      <c r="I147" s="26">
        <v>1112274</v>
      </c>
      <c r="J147" s="26"/>
      <c r="K147" s="26"/>
      <c r="L147" s="26"/>
      <c r="M147" s="26"/>
      <c r="N147" s="26">
        <f t="shared" si="12"/>
        <v>1112274</v>
      </c>
      <c r="O147" s="27">
        <f>22478+1036661</f>
        <v>1059139</v>
      </c>
      <c r="P147" s="27"/>
      <c r="Q147" s="27"/>
      <c r="R147" s="27"/>
      <c r="S147" s="27"/>
      <c r="T147" s="22">
        <f t="shared" si="13"/>
        <v>1059139</v>
      </c>
      <c r="U147" s="23"/>
      <c r="V147" s="23">
        <f t="shared" si="14"/>
        <v>53135</v>
      </c>
      <c r="W147" s="23">
        <f t="shared" si="15"/>
        <v>1112274</v>
      </c>
      <c r="X147" s="23">
        <f t="shared" si="16"/>
        <v>0</v>
      </c>
      <c r="Y147" s="24">
        <f t="shared" si="17"/>
        <v>1.5003239873461407E-2</v>
      </c>
      <c r="Z147" s="17" t="s">
        <v>42</v>
      </c>
    </row>
    <row r="148" spans="1:26" ht="47.25" x14ac:dyDescent="0.25">
      <c r="A148" s="1" t="s">
        <v>25</v>
      </c>
      <c r="B148" s="16">
        <v>139</v>
      </c>
      <c r="C148" s="16" t="s">
        <v>471</v>
      </c>
      <c r="D148" s="17" t="s">
        <v>472</v>
      </c>
      <c r="E148" s="17"/>
      <c r="F148" s="16" t="s">
        <v>78</v>
      </c>
      <c r="G148" s="16">
        <v>611</v>
      </c>
      <c r="H148" s="19" t="s">
        <v>473</v>
      </c>
      <c r="I148" s="26">
        <v>770159</v>
      </c>
      <c r="J148" s="26"/>
      <c r="K148" s="26"/>
      <c r="L148" s="26"/>
      <c r="M148" s="26"/>
      <c r="N148" s="26">
        <f t="shared" si="12"/>
        <v>770159</v>
      </c>
      <c r="O148" s="27">
        <f>165000+132415+128950+100000+35000+90000+118794</f>
        <v>770159</v>
      </c>
      <c r="P148" s="27"/>
      <c r="Q148" s="27"/>
      <c r="R148" s="27"/>
      <c r="S148" s="27"/>
      <c r="T148" s="22">
        <f t="shared" si="13"/>
        <v>770159</v>
      </c>
      <c r="U148" s="23"/>
      <c r="V148" s="23">
        <f t="shared" si="14"/>
        <v>0</v>
      </c>
      <c r="W148" s="23">
        <f t="shared" si="15"/>
        <v>770159</v>
      </c>
      <c r="X148" s="23">
        <f t="shared" si="16"/>
        <v>0</v>
      </c>
      <c r="Y148" s="24">
        <f t="shared" si="17"/>
        <v>1.0909691945726824E-2</v>
      </c>
      <c r="Z148" s="18" t="s">
        <v>64</v>
      </c>
    </row>
    <row r="149" spans="1:26" x14ac:dyDescent="0.25">
      <c r="A149" s="1" t="s">
        <v>25</v>
      </c>
      <c r="B149" s="16">
        <v>140</v>
      </c>
      <c r="C149" s="16" t="s">
        <v>474</v>
      </c>
      <c r="D149" s="17" t="s">
        <v>475</v>
      </c>
      <c r="E149" s="17"/>
      <c r="F149" s="16" t="s">
        <v>35</v>
      </c>
      <c r="G149" s="16">
        <v>1508</v>
      </c>
      <c r="H149" s="19" t="s">
        <v>476</v>
      </c>
      <c r="I149" s="26">
        <v>1179739</v>
      </c>
      <c r="J149" s="26"/>
      <c r="K149" s="26"/>
      <c r="L149" s="26"/>
      <c r="M149" s="26"/>
      <c r="N149" s="26">
        <f t="shared" si="12"/>
        <v>1179739</v>
      </c>
      <c r="O149" s="27">
        <f>112392+959461+107885</f>
        <v>1179738</v>
      </c>
      <c r="P149" s="27"/>
      <c r="Q149" s="27"/>
      <c r="R149" s="27"/>
      <c r="S149" s="27"/>
      <c r="T149" s="22">
        <f t="shared" si="13"/>
        <v>1179738</v>
      </c>
      <c r="U149" s="23"/>
      <c r="V149" s="23">
        <f t="shared" si="14"/>
        <v>1</v>
      </c>
      <c r="W149" s="23">
        <f t="shared" si="15"/>
        <v>1179739</v>
      </c>
      <c r="X149" s="23">
        <f t="shared" si="16"/>
        <v>0</v>
      </c>
      <c r="Y149" s="24">
        <f t="shared" si="17"/>
        <v>1.6711585733164027E-2</v>
      </c>
      <c r="Z149" s="17" t="s">
        <v>42</v>
      </c>
    </row>
    <row r="150" spans="1:26" x14ac:dyDescent="0.25">
      <c r="A150" s="1" t="s">
        <v>25</v>
      </c>
      <c r="B150" s="16">
        <v>141</v>
      </c>
      <c r="C150" s="16" t="s">
        <v>477</v>
      </c>
      <c r="D150" s="17" t="s">
        <v>478</v>
      </c>
      <c r="E150" s="17"/>
      <c r="F150" s="16" t="s">
        <v>479</v>
      </c>
      <c r="G150" s="16">
        <v>208</v>
      </c>
      <c r="H150" s="19" t="s">
        <v>480</v>
      </c>
      <c r="I150" s="26">
        <v>530000</v>
      </c>
      <c r="J150" s="26"/>
      <c r="K150" s="26"/>
      <c r="L150" s="26"/>
      <c r="M150" s="26"/>
      <c r="N150" s="26">
        <f t="shared" si="12"/>
        <v>530000</v>
      </c>
      <c r="O150" s="27">
        <f>105000+140000+5000+140000+140000</f>
        <v>530000</v>
      </c>
      <c r="P150" s="27"/>
      <c r="Q150" s="27"/>
      <c r="R150" s="27"/>
      <c r="S150" s="27"/>
      <c r="T150" s="22">
        <f t="shared" si="13"/>
        <v>530000</v>
      </c>
      <c r="U150" s="23"/>
      <c r="V150" s="23">
        <f t="shared" si="14"/>
        <v>0</v>
      </c>
      <c r="W150" s="23">
        <f t="shared" si="15"/>
        <v>530000</v>
      </c>
      <c r="X150" s="23">
        <f t="shared" si="16"/>
        <v>0</v>
      </c>
      <c r="Y150" s="24">
        <f t="shared" si="17"/>
        <v>7.5077181870694459E-3</v>
      </c>
      <c r="Z150" s="17" t="s">
        <v>47</v>
      </c>
    </row>
    <row r="151" spans="1:26" x14ac:dyDescent="0.25">
      <c r="A151" s="1" t="s">
        <v>25</v>
      </c>
      <c r="B151" s="16">
        <v>142</v>
      </c>
      <c r="C151" s="16" t="s">
        <v>481</v>
      </c>
      <c r="D151" s="17" t="s">
        <v>482</v>
      </c>
      <c r="E151" s="17"/>
      <c r="F151" s="16" t="s">
        <v>395</v>
      </c>
      <c r="G151" s="16">
        <v>307</v>
      </c>
      <c r="H151" s="19" t="s">
        <v>483</v>
      </c>
      <c r="I151" s="26">
        <v>216280</v>
      </c>
      <c r="J151" s="26"/>
      <c r="K151" s="26"/>
      <c r="L151" s="26"/>
      <c r="M151" s="26"/>
      <c r="N151" s="26">
        <f t="shared" si="12"/>
        <v>216280</v>
      </c>
      <c r="O151" s="27">
        <f>5000+5000+70000+25000+7280+104000</f>
        <v>216280</v>
      </c>
      <c r="P151" s="27"/>
      <c r="Q151" s="27"/>
      <c r="R151" s="27"/>
      <c r="S151" s="27"/>
      <c r="T151" s="22">
        <f t="shared" si="13"/>
        <v>216280</v>
      </c>
      <c r="U151" s="23"/>
      <c r="V151" s="23">
        <f t="shared" si="14"/>
        <v>0</v>
      </c>
      <c r="W151" s="23">
        <f t="shared" si="15"/>
        <v>216280</v>
      </c>
      <c r="X151" s="23">
        <f t="shared" si="16"/>
        <v>0</v>
      </c>
      <c r="Y151" s="24">
        <f t="shared" si="17"/>
        <v>3.0637156405648675E-3</v>
      </c>
      <c r="Z151" s="17" t="s">
        <v>47</v>
      </c>
    </row>
    <row r="152" spans="1:26" x14ac:dyDescent="0.25">
      <c r="A152" s="1" t="s">
        <v>25</v>
      </c>
      <c r="B152" s="16">
        <v>143</v>
      </c>
      <c r="C152" s="16" t="s">
        <v>484</v>
      </c>
      <c r="D152" s="17" t="s">
        <v>482</v>
      </c>
      <c r="E152" s="17"/>
      <c r="F152" s="16" t="s">
        <v>395</v>
      </c>
      <c r="G152" s="16">
        <v>308</v>
      </c>
      <c r="H152" s="19" t="s">
        <v>483</v>
      </c>
      <c r="I152" s="26">
        <v>375000</v>
      </c>
      <c r="J152" s="26"/>
      <c r="K152" s="26"/>
      <c r="L152" s="26"/>
      <c r="M152" s="26"/>
      <c r="N152" s="26">
        <f t="shared" si="12"/>
        <v>375000</v>
      </c>
      <c r="O152" s="27">
        <f>75000+100000+100000+100000</f>
        <v>375000</v>
      </c>
      <c r="P152" s="27"/>
      <c r="Q152" s="27"/>
      <c r="R152" s="27"/>
      <c r="S152" s="27"/>
      <c r="T152" s="22">
        <f t="shared" si="13"/>
        <v>375000</v>
      </c>
      <c r="U152" s="23"/>
      <c r="V152" s="23">
        <f t="shared" si="14"/>
        <v>0</v>
      </c>
      <c r="W152" s="23">
        <f t="shared" si="15"/>
        <v>375000</v>
      </c>
      <c r="X152" s="23">
        <f t="shared" si="16"/>
        <v>0</v>
      </c>
      <c r="Y152" s="24">
        <f t="shared" si="17"/>
        <v>5.3120647550019663E-3</v>
      </c>
      <c r="Z152" s="17" t="s">
        <v>47</v>
      </c>
    </row>
    <row r="153" spans="1:26" x14ac:dyDescent="0.25">
      <c r="A153" s="1" t="s">
        <v>25</v>
      </c>
      <c r="B153" s="16">
        <v>144</v>
      </c>
      <c r="C153" s="16" t="s">
        <v>485</v>
      </c>
      <c r="D153" s="17" t="s">
        <v>486</v>
      </c>
      <c r="E153" s="17"/>
      <c r="F153" s="16" t="s">
        <v>82</v>
      </c>
      <c r="G153" s="16">
        <v>1404</v>
      </c>
      <c r="H153" s="19" t="s">
        <v>487</v>
      </c>
      <c r="I153" s="26">
        <v>2419715</v>
      </c>
      <c r="J153" s="26">
        <v>2003617</v>
      </c>
      <c r="K153" s="26"/>
      <c r="L153" s="26"/>
      <c r="M153" s="26"/>
      <c r="N153" s="26">
        <f t="shared" si="12"/>
        <v>4423332</v>
      </c>
      <c r="O153" s="27">
        <f>1700000+217600+197015+100000</f>
        <v>2214615</v>
      </c>
      <c r="P153" s="27">
        <f>+J153/18%*8%</f>
        <v>890496.4444444445</v>
      </c>
      <c r="Q153" s="27"/>
      <c r="R153" s="27"/>
      <c r="S153" s="27"/>
      <c r="T153" s="22">
        <f t="shared" si="13"/>
        <v>3105111.4444444445</v>
      </c>
      <c r="U153" s="23"/>
      <c r="V153" s="23">
        <f t="shared" si="14"/>
        <v>1318220.5555555555</v>
      </c>
      <c r="W153" s="23">
        <f t="shared" si="15"/>
        <v>4423332</v>
      </c>
      <c r="X153" s="23">
        <f t="shared" si="16"/>
        <v>0</v>
      </c>
      <c r="Y153" s="24">
        <f t="shared" si="17"/>
        <v>4.3985474838364215E-2</v>
      </c>
      <c r="Z153" s="17" t="s">
        <v>47</v>
      </c>
    </row>
    <row r="154" spans="1:26" ht="47.25" x14ac:dyDescent="0.25">
      <c r="A154" s="1" t="s">
        <v>25</v>
      </c>
      <c r="B154" s="16">
        <v>145</v>
      </c>
      <c r="C154" s="16" t="s">
        <v>488</v>
      </c>
      <c r="D154" s="17" t="s">
        <v>489</v>
      </c>
      <c r="E154" s="17"/>
      <c r="F154" s="16" t="s">
        <v>82</v>
      </c>
      <c r="G154" s="16">
        <v>1001</v>
      </c>
      <c r="H154" s="19" t="s">
        <v>490</v>
      </c>
      <c r="I154" s="26">
        <v>412500</v>
      </c>
      <c r="J154" s="26">
        <v>247000</v>
      </c>
      <c r="K154" s="26"/>
      <c r="L154" s="26"/>
      <c r="M154" s="26"/>
      <c r="N154" s="26">
        <f t="shared" si="12"/>
        <v>659500</v>
      </c>
      <c r="O154" s="27">
        <f>309000+103500</f>
        <v>412500</v>
      </c>
      <c r="P154" s="27">
        <v>247000</v>
      </c>
      <c r="Q154" s="27"/>
      <c r="R154" s="27"/>
      <c r="S154" s="27"/>
      <c r="T154" s="22">
        <f t="shared" si="13"/>
        <v>659500</v>
      </c>
      <c r="U154" s="23"/>
      <c r="V154" s="23">
        <f t="shared" si="14"/>
        <v>0</v>
      </c>
      <c r="W154" s="23">
        <f t="shared" si="15"/>
        <v>659500</v>
      </c>
      <c r="X154" s="23">
        <f t="shared" si="16"/>
        <v>0</v>
      </c>
      <c r="Y154" s="24">
        <f t="shared" si="17"/>
        <v>9.3421512157967918E-3</v>
      </c>
      <c r="Z154" s="18" t="s">
        <v>64</v>
      </c>
    </row>
    <row r="155" spans="1:26" x14ac:dyDescent="0.25">
      <c r="A155" s="1" t="s">
        <v>25</v>
      </c>
      <c r="B155" s="16">
        <v>146</v>
      </c>
      <c r="C155" s="16" t="s">
        <v>491</v>
      </c>
      <c r="D155" s="17" t="s">
        <v>492</v>
      </c>
      <c r="E155" s="17"/>
      <c r="F155" s="16" t="s">
        <v>100</v>
      </c>
      <c r="G155" s="16">
        <v>306</v>
      </c>
      <c r="H155" s="19" t="s">
        <v>493</v>
      </c>
      <c r="I155" s="26">
        <v>525783</v>
      </c>
      <c r="J155" s="26">
        <v>394337</v>
      </c>
      <c r="K155" s="26"/>
      <c r="L155" s="26"/>
      <c r="M155" s="26"/>
      <c r="N155" s="26">
        <f t="shared" si="12"/>
        <v>920120</v>
      </c>
      <c r="O155" s="27">
        <f>100000+275138+150645</f>
        <v>525783</v>
      </c>
      <c r="P155" s="27">
        <f>+J155/12%*8%</f>
        <v>262891.33333333337</v>
      </c>
      <c r="Q155" s="27"/>
      <c r="R155" s="27"/>
      <c r="S155" s="27"/>
      <c r="T155" s="22">
        <f t="shared" si="13"/>
        <v>788674.33333333337</v>
      </c>
      <c r="U155" s="23"/>
      <c r="V155" s="23">
        <f t="shared" si="14"/>
        <v>131445.66666666663</v>
      </c>
      <c r="W155" s="23">
        <f t="shared" si="15"/>
        <v>920120</v>
      </c>
      <c r="X155" s="23">
        <f t="shared" si="16"/>
        <v>0</v>
      </c>
      <c r="Y155" s="24">
        <f t="shared" si="17"/>
        <v>1.1171971011399127E-2</v>
      </c>
      <c r="Z155" s="17" t="s">
        <v>47</v>
      </c>
    </row>
    <row r="156" spans="1:26" x14ac:dyDescent="0.25">
      <c r="A156" s="1" t="s">
        <v>25</v>
      </c>
      <c r="B156" s="16">
        <v>147</v>
      </c>
      <c r="C156" s="16" t="s">
        <v>494</v>
      </c>
      <c r="D156" s="17" t="s">
        <v>495</v>
      </c>
      <c r="E156" s="17"/>
      <c r="F156" s="16"/>
      <c r="G156" s="16"/>
      <c r="H156" s="19" t="s">
        <v>496</v>
      </c>
      <c r="I156" s="26">
        <v>29902359</v>
      </c>
      <c r="J156" s="26"/>
      <c r="K156" s="26"/>
      <c r="L156" s="26"/>
      <c r="M156" s="26"/>
      <c r="N156" s="26">
        <f t="shared" si="12"/>
        <v>29902359</v>
      </c>
      <c r="O156" s="27">
        <f>15389000+1223419</f>
        <v>16612419</v>
      </c>
      <c r="P156" s="27">
        <f>+(O156*8%)*9+(1328994/12*11)</f>
        <v>13179186.18</v>
      </c>
      <c r="Q156" s="27"/>
      <c r="R156" s="27"/>
      <c r="S156" s="27"/>
      <c r="T156" s="22">
        <f t="shared" si="13"/>
        <v>29791605.18</v>
      </c>
      <c r="U156" s="23"/>
      <c r="V156" s="23">
        <f t="shared" si="14"/>
        <v>110753.8200000003</v>
      </c>
      <c r="W156" s="23">
        <f t="shared" si="15"/>
        <v>29902359</v>
      </c>
      <c r="X156" s="23">
        <f t="shared" si="16"/>
        <v>0</v>
      </c>
      <c r="Y156" s="24">
        <f t="shared" si="17"/>
        <v>0.4220131623242987</v>
      </c>
      <c r="Z156" s="17"/>
    </row>
    <row r="157" spans="1:26" x14ac:dyDescent="0.25">
      <c r="A157" s="1" t="s">
        <v>25</v>
      </c>
      <c r="B157" s="16">
        <v>148</v>
      </c>
      <c r="C157" s="16" t="s">
        <v>497</v>
      </c>
      <c r="D157" s="17" t="s">
        <v>498</v>
      </c>
      <c r="E157" s="17"/>
      <c r="F157" s="16" t="s">
        <v>479</v>
      </c>
      <c r="G157" s="16">
        <v>203</v>
      </c>
      <c r="H157" s="19" t="s">
        <v>499</v>
      </c>
      <c r="I157" s="26">
        <v>1850000</v>
      </c>
      <c r="J157" s="26"/>
      <c r="K157" s="26"/>
      <c r="L157" s="26"/>
      <c r="M157" s="26"/>
      <c r="N157" s="26">
        <f t="shared" si="12"/>
        <v>1850000</v>
      </c>
      <c r="O157" s="27">
        <v>180000</v>
      </c>
      <c r="P157" s="27"/>
      <c r="Q157" s="27"/>
      <c r="R157" s="27"/>
      <c r="S157" s="27"/>
      <c r="T157" s="22">
        <f t="shared" si="13"/>
        <v>180000</v>
      </c>
      <c r="U157" s="23"/>
      <c r="V157" s="23">
        <f t="shared" si="14"/>
        <v>1670000</v>
      </c>
      <c r="W157" s="23">
        <f t="shared" si="15"/>
        <v>1850000</v>
      </c>
      <c r="X157" s="23">
        <f t="shared" si="16"/>
        <v>0</v>
      </c>
      <c r="Y157" s="24">
        <f t="shared" si="17"/>
        <v>2.5497910824009437E-3</v>
      </c>
      <c r="Z157" s="17"/>
    </row>
    <row r="158" spans="1:26" x14ac:dyDescent="0.25">
      <c r="A158" s="1" t="s">
        <v>25</v>
      </c>
      <c r="B158" s="16">
        <v>149</v>
      </c>
      <c r="C158" s="16" t="s">
        <v>500</v>
      </c>
      <c r="D158" s="17" t="s">
        <v>501</v>
      </c>
      <c r="E158" s="17"/>
      <c r="F158" s="16" t="s">
        <v>82</v>
      </c>
      <c r="G158" s="16">
        <v>1301</v>
      </c>
      <c r="H158" s="19" t="s">
        <v>502</v>
      </c>
      <c r="I158" s="26">
        <v>350920</v>
      </c>
      <c r="J158" s="26">
        <v>168442</v>
      </c>
      <c r="K158" s="26"/>
      <c r="L158" s="26"/>
      <c r="M158" s="26"/>
      <c r="N158" s="26">
        <f t="shared" si="12"/>
        <v>519362</v>
      </c>
      <c r="O158" s="27">
        <f>34920+305000</f>
        <v>339920</v>
      </c>
      <c r="P158" s="27">
        <f>+J158/12%*8%</f>
        <v>112294.66666666669</v>
      </c>
      <c r="Q158" s="27"/>
      <c r="R158" s="27"/>
      <c r="S158" s="27"/>
      <c r="T158" s="22">
        <f t="shared" si="13"/>
        <v>452214.66666666669</v>
      </c>
      <c r="U158" s="23"/>
      <c r="V158" s="23">
        <f t="shared" si="14"/>
        <v>67147.333333333314</v>
      </c>
      <c r="W158" s="23">
        <f t="shared" si="15"/>
        <v>519362</v>
      </c>
      <c r="X158" s="23">
        <f t="shared" si="16"/>
        <v>0</v>
      </c>
      <c r="Y158" s="24">
        <f t="shared" si="17"/>
        <v>6.4058495799865674E-3</v>
      </c>
      <c r="Z158" s="17" t="s">
        <v>47</v>
      </c>
    </row>
    <row r="159" spans="1:26" x14ac:dyDescent="0.25">
      <c r="A159" s="1" t="s">
        <v>25</v>
      </c>
      <c r="B159" s="16">
        <v>150</v>
      </c>
      <c r="C159" s="16" t="s">
        <v>503</v>
      </c>
      <c r="D159" s="17" t="s">
        <v>504</v>
      </c>
      <c r="E159" s="17"/>
      <c r="F159" s="16" t="s">
        <v>35</v>
      </c>
      <c r="G159" s="16">
        <v>601</v>
      </c>
      <c r="H159" s="19" t="s">
        <v>505</v>
      </c>
      <c r="I159" s="26">
        <v>1222550</v>
      </c>
      <c r="J159" s="26"/>
      <c r="K159" s="26"/>
      <c r="L159" s="26"/>
      <c r="M159" s="26"/>
      <c r="N159" s="26">
        <f t="shared" si="12"/>
        <v>1222550</v>
      </c>
      <c r="O159" s="27">
        <f>1100+11000+10438+158872+865359</f>
        <v>1046769</v>
      </c>
      <c r="P159" s="27"/>
      <c r="Q159" s="27"/>
      <c r="R159" s="27"/>
      <c r="S159" s="27"/>
      <c r="T159" s="22">
        <f t="shared" si="13"/>
        <v>1046769</v>
      </c>
      <c r="U159" s="23"/>
      <c r="V159" s="23">
        <f t="shared" si="14"/>
        <v>175781</v>
      </c>
      <c r="W159" s="23">
        <f t="shared" si="15"/>
        <v>1222550</v>
      </c>
      <c r="X159" s="23">
        <f t="shared" si="16"/>
        <v>0</v>
      </c>
      <c r="Y159" s="24">
        <f t="shared" si="17"/>
        <v>1.4828012564076409E-2</v>
      </c>
      <c r="Z159" s="17" t="s">
        <v>47</v>
      </c>
    </row>
    <row r="160" spans="1:26" x14ac:dyDescent="0.25">
      <c r="A160" s="1" t="s">
        <v>25</v>
      </c>
      <c r="B160" s="16">
        <v>151</v>
      </c>
      <c r="C160" s="16" t="s">
        <v>506</v>
      </c>
      <c r="D160" s="17" t="s">
        <v>507</v>
      </c>
      <c r="E160" s="17"/>
      <c r="F160" s="16" t="s">
        <v>39</v>
      </c>
      <c r="G160" s="16">
        <v>1601</v>
      </c>
      <c r="H160" s="19" t="s">
        <v>508</v>
      </c>
      <c r="I160" s="26">
        <v>292832</v>
      </c>
      <c r="J160" s="26">
        <v>140559</v>
      </c>
      <c r="K160" s="26"/>
      <c r="L160" s="26"/>
      <c r="M160" s="26"/>
      <c r="N160" s="26">
        <f t="shared" si="12"/>
        <v>433391</v>
      </c>
      <c r="O160" s="27">
        <f>26912+254920+11000</f>
        <v>292832</v>
      </c>
      <c r="P160" s="27">
        <f>+J160/12%*8%</f>
        <v>93706</v>
      </c>
      <c r="Q160" s="27"/>
      <c r="R160" s="27"/>
      <c r="S160" s="27"/>
      <c r="T160" s="22">
        <f t="shared" si="13"/>
        <v>386538</v>
      </c>
      <c r="U160" s="23"/>
      <c r="V160" s="23">
        <f t="shared" si="14"/>
        <v>46853</v>
      </c>
      <c r="W160" s="23">
        <f t="shared" si="15"/>
        <v>433391</v>
      </c>
      <c r="X160" s="23">
        <f t="shared" si="16"/>
        <v>0</v>
      </c>
      <c r="Y160" s="24">
        <f t="shared" si="17"/>
        <v>5.475506363383867E-3</v>
      </c>
      <c r="Z160" s="17" t="s">
        <v>47</v>
      </c>
    </row>
    <row r="161" spans="1:26" x14ac:dyDescent="0.25">
      <c r="A161" s="1" t="s">
        <v>25</v>
      </c>
      <c r="B161" s="16">
        <v>152</v>
      </c>
      <c r="C161" s="16" t="s">
        <v>509</v>
      </c>
      <c r="D161" s="17" t="s">
        <v>510</v>
      </c>
      <c r="E161" s="17"/>
      <c r="F161" s="16" t="s">
        <v>35</v>
      </c>
      <c r="G161" s="16">
        <v>1703</v>
      </c>
      <c r="H161" s="19" t="s">
        <v>511</v>
      </c>
      <c r="I161" s="26">
        <v>193923</v>
      </c>
      <c r="J161" s="26">
        <v>93083</v>
      </c>
      <c r="K161" s="26"/>
      <c r="L161" s="26"/>
      <c r="M161" s="26"/>
      <c r="N161" s="26">
        <f t="shared" si="12"/>
        <v>287006</v>
      </c>
      <c r="O161" s="27">
        <f>24113+168710</f>
        <v>192823</v>
      </c>
      <c r="P161" s="27">
        <f>+J161/12%*8%</f>
        <v>62055.333333333343</v>
      </c>
      <c r="Q161" s="27"/>
      <c r="R161" s="27"/>
      <c r="S161" s="27"/>
      <c r="T161" s="22">
        <f t="shared" si="13"/>
        <v>254878.33333333334</v>
      </c>
      <c r="U161" s="23"/>
      <c r="V161" s="23">
        <f t="shared" si="14"/>
        <v>32127.666666666657</v>
      </c>
      <c r="W161" s="23">
        <f t="shared" si="15"/>
        <v>287006</v>
      </c>
      <c r="X161" s="23">
        <f t="shared" si="16"/>
        <v>0</v>
      </c>
      <c r="Y161" s="24">
        <f t="shared" si="17"/>
        <v>3.6104805635030477E-3</v>
      </c>
      <c r="Z161" s="17" t="s">
        <v>47</v>
      </c>
    </row>
    <row r="162" spans="1:26" ht="47.25" x14ac:dyDescent="0.25">
      <c r="A162" s="1" t="s">
        <v>25</v>
      </c>
      <c r="B162" s="16">
        <v>153</v>
      </c>
      <c r="C162" s="16" t="s">
        <v>512</v>
      </c>
      <c r="D162" s="17" t="s">
        <v>513</v>
      </c>
      <c r="E162" s="17"/>
      <c r="F162" s="16" t="s">
        <v>39</v>
      </c>
      <c r="G162" s="16">
        <v>1106</v>
      </c>
      <c r="H162" s="19" t="s">
        <v>514</v>
      </c>
      <c r="I162" s="26">
        <v>1939123</v>
      </c>
      <c r="J162" s="26"/>
      <c r="K162" s="26"/>
      <c r="L162" s="26"/>
      <c r="M162" s="26"/>
      <c r="N162" s="26">
        <f t="shared" si="12"/>
        <v>1939123</v>
      </c>
      <c r="O162" s="27">
        <f>162791+900000+876332</f>
        <v>1939123</v>
      </c>
      <c r="P162" s="27"/>
      <c r="Q162" s="27"/>
      <c r="R162" s="27"/>
      <c r="S162" s="27"/>
      <c r="T162" s="22">
        <f t="shared" si="13"/>
        <v>1939123</v>
      </c>
      <c r="U162" s="23"/>
      <c r="V162" s="23">
        <f t="shared" si="14"/>
        <v>0</v>
      </c>
      <c r="W162" s="23">
        <f t="shared" si="15"/>
        <v>1939123</v>
      </c>
      <c r="X162" s="23">
        <f t="shared" si="16"/>
        <v>0</v>
      </c>
      <c r="Y162" s="24">
        <f t="shared" si="17"/>
        <v>2.7468658517103142E-2</v>
      </c>
      <c r="Z162" s="18" t="s">
        <v>64</v>
      </c>
    </row>
    <row r="163" spans="1:26" ht="47.25" x14ac:dyDescent="0.25">
      <c r="A163" s="1" t="s">
        <v>25</v>
      </c>
      <c r="B163" s="16">
        <v>154</v>
      </c>
      <c r="C163" s="16" t="s">
        <v>515</v>
      </c>
      <c r="D163" s="17" t="s">
        <v>516</v>
      </c>
      <c r="E163" s="17"/>
      <c r="F163" s="16" t="s">
        <v>517</v>
      </c>
      <c r="G163" s="16">
        <v>1</v>
      </c>
      <c r="H163" s="19" t="s">
        <v>514</v>
      </c>
      <c r="I163" s="26">
        <v>344850</v>
      </c>
      <c r="J163" s="26"/>
      <c r="K163" s="26"/>
      <c r="L163" s="26"/>
      <c r="M163" s="26"/>
      <c r="N163" s="26">
        <f t="shared" si="12"/>
        <v>344850</v>
      </c>
      <c r="O163" s="27">
        <f>51000+100000+100000+93850</f>
        <v>344850</v>
      </c>
      <c r="P163" s="27"/>
      <c r="Q163" s="27"/>
      <c r="R163" s="27"/>
      <c r="S163" s="27"/>
      <c r="T163" s="22">
        <f t="shared" si="13"/>
        <v>344850</v>
      </c>
      <c r="U163" s="23"/>
      <c r="V163" s="23">
        <f t="shared" si="14"/>
        <v>0</v>
      </c>
      <c r="W163" s="23">
        <f t="shared" si="15"/>
        <v>344850</v>
      </c>
      <c r="X163" s="23">
        <f t="shared" si="16"/>
        <v>0</v>
      </c>
      <c r="Y163" s="24">
        <f t="shared" si="17"/>
        <v>4.8849747486998081E-3</v>
      </c>
      <c r="Z163" s="18" t="s">
        <v>64</v>
      </c>
    </row>
    <row r="164" spans="1:26" ht="47.25" x14ac:dyDescent="0.25">
      <c r="A164" s="1" t="s">
        <v>25</v>
      </c>
      <c r="B164" s="16">
        <v>155</v>
      </c>
      <c r="C164" s="16" t="s">
        <v>518</v>
      </c>
      <c r="D164" s="17" t="s">
        <v>519</v>
      </c>
      <c r="E164" s="17"/>
      <c r="F164" s="16" t="s">
        <v>39</v>
      </c>
      <c r="G164" s="16">
        <v>1104</v>
      </c>
      <c r="H164" s="19" t="s">
        <v>514</v>
      </c>
      <c r="I164" s="26">
        <v>1939123</v>
      </c>
      <c r="J164" s="26"/>
      <c r="K164" s="26"/>
      <c r="L164" s="26"/>
      <c r="M164" s="26"/>
      <c r="N164" s="26">
        <f t="shared" si="12"/>
        <v>1939123</v>
      </c>
      <c r="O164" s="27">
        <f>162791+243000+900000+633332</f>
        <v>1939123</v>
      </c>
      <c r="P164" s="27"/>
      <c r="Q164" s="27"/>
      <c r="R164" s="27"/>
      <c r="S164" s="27"/>
      <c r="T164" s="22">
        <f t="shared" si="13"/>
        <v>1939123</v>
      </c>
      <c r="U164" s="23"/>
      <c r="V164" s="23">
        <f t="shared" si="14"/>
        <v>0</v>
      </c>
      <c r="W164" s="23">
        <f t="shared" si="15"/>
        <v>1939123</v>
      </c>
      <c r="X164" s="23">
        <f t="shared" si="16"/>
        <v>0</v>
      </c>
      <c r="Y164" s="24">
        <f t="shared" si="17"/>
        <v>2.7468658517103142E-2</v>
      </c>
      <c r="Z164" s="18" t="s">
        <v>64</v>
      </c>
    </row>
    <row r="165" spans="1:26" ht="47.25" x14ac:dyDescent="0.25">
      <c r="A165" s="1" t="s">
        <v>25</v>
      </c>
      <c r="B165" s="16">
        <v>156</v>
      </c>
      <c r="C165" s="16" t="s">
        <v>520</v>
      </c>
      <c r="D165" s="17" t="s">
        <v>516</v>
      </c>
      <c r="E165" s="17"/>
      <c r="F165" s="16" t="s">
        <v>39</v>
      </c>
      <c r="G165" s="16">
        <v>1105</v>
      </c>
      <c r="H165" s="19" t="s">
        <v>514</v>
      </c>
      <c r="I165" s="26">
        <v>1939123</v>
      </c>
      <c r="J165" s="26"/>
      <c r="K165" s="26"/>
      <c r="L165" s="26"/>
      <c r="M165" s="26"/>
      <c r="N165" s="26">
        <f t="shared" si="12"/>
        <v>1939123</v>
      </c>
      <c r="O165" s="27">
        <f>85000+77791+243000+900000+633332</f>
        <v>1939123</v>
      </c>
      <c r="P165" s="27"/>
      <c r="Q165" s="27"/>
      <c r="R165" s="27"/>
      <c r="S165" s="27"/>
      <c r="T165" s="22">
        <f t="shared" si="13"/>
        <v>1939123</v>
      </c>
      <c r="U165" s="23"/>
      <c r="V165" s="23">
        <f t="shared" si="14"/>
        <v>0</v>
      </c>
      <c r="W165" s="23">
        <f t="shared" si="15"/>
        <v>1939123</v>
      </c>
      <c r="X165" s="23">
        <f t="shared" si="16"/>
        <v>0</v>
      </c>
      <c r="Y165" s="24">
        <f t="shared" si="17"/>
        <v>2.7468658517103142E-2</v>
      </c>
      <c r="Z165" s="18" t="s">
        <v>64</v>
      </c>
    </row>
    <row r="166" spans="1:26" ht="47.25" x14ac:dyDescent="0.25">
      <c r="A166" s="1" t="s">
        <v>25</v>
      </c>
      <c r="B166" s="16">
        <v>157</v>
      </c>
      <c r="C166" s="16" t="s">
        <v>521</v>
      </c>
      <c r="D166" s="17" t="s">
        <v>522</v>
      </c>
      <c r="E166" s="17"/>
      <c r="F166" s="16" t="s">
        <v>82</v>
      </c>
      <c r="G166" s="16">
        <v>1403</v>
      </c>
      <c r="H166" s="19" t="s">
        <v>523</v>
      </c>
      <c r="I166" s="26">
        <f>816425-200000</f>
        <v>616425</v>
      </c>
      <c r="J166" s="26"/>
      <c r="K166" s="26"/>
      <c r="L166" s="26"/>
      <c r="M166" s="26"/>
      <c r="N166" s="26">
        <f t="shared" si="12"/>
        <v>616425</v>
      </c>
      <c r="O166" s="27">
        <f>100000+200000+116425+100000+100000+200000-200000</f>
        <v>616425</v>
      </c>
      <c r="P166" s="27"/>
      <c r="Q166" s="27"/>
      <c r="R166" s="27"/>
      <c r="S166" s="27"/>
      <c r="T166" s="22">
        <f t="shared" si="13"/>
        <v>616425</v>
      </c>
      <c r="U166" s="23"/>
      <c r="V166" s="23">
        <f t="shared" si="14"/>
        <v>0</v>
      </c>
      <c r="W166" s="23">
        <f t="shared" si="15"/>
        <v>616425</v>
      </c>
      <c r="X166" s="23">
        <f t="shared" si="16"/>
        <v>0</v>
      </c>
      <c r="Y166" s="24">
        <f t="shared" si="17"/>
        <v>8.7319720442722328E-3</v>
      </c>
      <c r="Z166" s="18" t="s">
        <v>64</v>
      </c>
    </row>
    <row r="167" spans="1:26" x14ac:dyDescent="0.25">
      <c r="A167" s="1" t="s">
        <v>25</v>
      </c>
      <c r="B167" s="16">
        <v>158</v>
      </c>
      <c r="C167" s="16" t="s">
        <v>524</v>
      </c>
      <c r="D167" s="17" t="s">
        <v>525</v>
      </c>
      <c r="E167" s="17"/>
      <c r="F167" s="16" t="s">
        <v>526</v>
      </c>
      <c r="G167" s="16">
        <v>301</v>
      </c>
      <c r="H167" s="19" t="s">
        <v>527</v>
      </c>
      <c r="I167" s="26">
        <v>2982151</v>
      </c>
      <c r="J167" s="26"/>
      <c r="K167" s="26"/>
      <c r="L167" s="26"/>
      <c r="M167" s="26"/>
      <c r="N167" s="26">
        <f t="shared" si="12"/>
        <v>2982151</v>
      </c>
      <c r="O167" s="27">
        <f>268950+828267+67237</f>
        <v>1164454</v>
      </c>
      <c r="P167" s="27"/>
      <c r="Q167" s="27"/>
      <c r="R167" s="27"/>
      <c r="S167" s="27"/>
      <c r="T167" s="22">
        <f t="shared" si="13"/>
        <v>1164454</v>
      </c>
      <c r="U167" s="23"/>
      <c r="V167" s="23">
        <f t="shared" si="14"/>
        <v>1817697</v>
      </c>
      <c r="W167" s="23">
        <f t="shared" si="15"/>
        <v>2982151</v>
      </c>
      <c r="X167" s="23">
        <f t="shared" si="16"/>
        <v>0</v>
      </c>
      <c r="Y167" s="24">
        <f t="shared" si="17"/>
        <v>1.6495080139256157E-2</v>
      </c>
      <c r="Z167" s="17" t="s">
        <v>47</v>
      </c>
    </row>
    <row r="168" spans="1:26" x14ac:dyDescent="0.25">
      <c r="A168" s="1" t="s">
        <v>25</v>
      </c>
      <c r="B168" s="16">
        <v>159</v>
      </c>
      <c r="C168" s="16" t="s">
        <v>528</v>
      </c>
      <c r="D168" s="17" t="s">
        <v>529</v>
      </c>
      <c r="E168" s="17"/>
      <c r="F168" s="16" t="s">
        <v>100</v>
      </c>
      <c r="G168" s="16">
        <v>1902</v>
      </c>
      <c r="H168" s="19" t="s">
        <v>530</v>
      </c>
      <c r="I168" s="26">
        <v>1409540</v>
      </c>
      <c r="J168" s="26">
        <v>995008</v>
      </c>
      <c r="K168" s="26"/>
      <c r="L168" s="26"/>
      <c r="M168" s="26"/>
      <c r="N168" s="26">
        <f t="shared" si="12"/>
        <v>2404548</v>
      </c>
      <c r="O168" s="27">
        <f>806828+100403+100405+34590+73849+158568</f>
        <v>1274643</v>
      </c>
      <c r="P168" s="27">
        <f>+J168/12%*8%</f>
        <v>663338.66666666674</v>
      </c>
      <c r="Q168" s="27"/>
      <c r="R168" s="27"/>
      <c r="S168" s="27"/>
      <c r="T168" s="22">
        <f t="shared" si="13"/>
        <v>1937981.6666666667</v>
      </c>
      <c r="U168" s="23"/>
      <c r="V168" s="23">
        <f t="shared" si="14"/>
        <v>466566.33333333326</v>
      </c>
      <c r="W168" s="23">
        <f t="shared" si="15"/>
        <v>2404548</v>
      </c>
      <c r="X168" s="23">
        <f t="shared" si="16"/>
        <v>0</v>
      </c>
      <c r="Y168" s="24">
        <f t="shared" si="17"/>
        <v>2.7452490952906583E-2</v>
      </c>
      <c r="Z168" s="17" t="s">
        <v>47</v>
      </c>
    </row>
    <row r="169" spans="1:26" x14ac:dyDescent="0.25">
      <c r="A169" s="1" t="s">
        <v>25</v>
      </c>
      <c r="B169" s="16">
        <v>160</v>
      </c>
      <c r="C169" s="16" t="s">
        <v>531</v>
      </c>
      <c r="D169" s="17" t="s">
        <v>532</v>
      </c>
      <c r="E169" s="17"/>
      <c r="F169" s="16" t="s">
        <v>533</v>
      </c>
      <c r="G169" s="16">
        <v>307</v>
      </c>
      <c r="H169" s="19" t="s">
        <v>534</v>
      </c>
      <c r="I169" s="26">
        <v>10008800</v>
      </c>
      <c r="J169" s="26"/>
      <c r="K169" s="26"/>
      <c r="L169" s="26"/>
      <c r="M169" s="26"/>
      <c r="N169" s="26">
        <f t="shared" si="12"/>
        <v>10008800</v>
      </c>
      <c r="O169" s="27">
        <f>202466+73440+135000+180000+180000+180000</f>
        <v>950906</v>
      </c>
      <c r="P169" s="27"/>
      <c r="Q169" s="27"/>
      <c r="R169" s="27"/>
      <c r="S169" s="27"/>
      <c r="T169" s="22">
        <f t="shared" si="13"/>
        <v>950906</v>
      </c>
      <c r="U169" s="23"/>
      <c r="V169" s="23">
        <f t="shared" si="14"/>
        <v>9057894</v>
      </c>
      <c r="W169" s="23">
        <f t="shared" si="15"/>
        <v>10008800</v>
      </c>
      <c r="X169" s="23">
        <f t="shared" si="16"/>
        <v>0</v>
      </c>
      <c r="Y169" s="24">
        <f t="shared" si="17"/>
        <v>1.3470064661119734E-2</v>
      </c>
      <c r="Z169" s="17" t="s">
        <v>47</v>
      </c>
    </row>
    <row r="170" spans="1:26" ht="47.25" x14ac:dyDescent="0.25">
      <c r="A170" s="1" t="s">
        <v>25</v>
      </c>
      <c r="B170" s="16">
        <v>161</v>
      </c>
      <c r="C170" s="16" t="s">
        <v>535</v>
      </c>
      <c r="D170" s="17" t="s">
        <v>536</v>
      </c>
      <c r="E170" s="17"/>
      <c r="F170" s="16"/>
      <c r="G170" s="16">
        <v>111</v>
      </c>
      <c r="H170" s="19" t="s">
        <v>537</v>
      </c>
      <c r="I170" s="26">
        <f>910558-55360-95683</f>
        <v>759515</v>
      </c>
      <c r="J170" s="26">
        <f>74508+95683</f>
        <v>170191</v>
      </c>
      <c r="K170" s="26"/>
      <c r="L170" s="26">
        <f>45800+7800+1760</f>
        <v>55360</v>
      </c>
      <c r="M170" s="26"/>
      <c r="N170" s="26">
        <f t="shared" si="12"/>
        <v>985066</v>
      </c>
      <c r="O170" s="27">
        <f>531568+113927+113684</f>
        <v>759179</v>
      </c>
      <c r="P170" s="27">
        <v>74508</v>
      </c>
      <c r="Q170" s="27"/>
      <c r="R170" s="27"/>
      <c r="S170" s="27"/>
      <c r="T170" s="22">
        <f t="shared" si="13"/>
        <v>833687</v>
      </c>
      <c r="U170" s="23"/>
      <c r="V170" s="23">
        <f t="shared" si="14"/>
        <v>151379</v>
      </c>
      <c r="W170" s="23">
        <f t="shared" si="15"/>
        <v>985066</v>
      </c>
      <c r="X170" s="23">
        <f t="shared" si="16"/>
        <v>0</v>
      </c>
      <c r="Y170" s="24">
        <f t="shared" si="17"/>
        <v>1.1809598211742198E-2</v>
      </c>
      <c r="Z170" s="18" t="s">
        <v>64</v>
      </c>
    </row>
    <row r="171" spans="1:26" ht="47.25" x14ac:dyDescent="0.25">
      <c r="A171" s="1" t="s">
        <v>25</v>
      </c>
      <c r="B171" s="16">
        <v>162</v>
      </c>
      <c r="C171" s="16" t="s">
        <v>538</v>
      </c>
      <c r="D171" s="17" t="s">
        <v>539</v>
      </c>
      <c r="E171" s="17"/>
      <c r="F171" s="16" t="s">
        <v>82</v>
      </c>
      <c r="G171" s="16">
        <v>1002</v>
      </c>
      <c r="H171" s="19" t="s">
        <v>540</v>
      </c>
      <c r="I171" s="26">
        <v>1123947</v>
      </c>
      <c r="J171" s="26">
        <v>449578</v>
      </c>
      <c r="K171" s="26"/>
      <c r="L171" s="26"/>
      <c r="M171" s="26"/>
      <c r="N171" s="26">
        <f t="shared" si="12"/>
        <v>1573525</v>
      </c>
      <c r="O171" s="27">
        <f>150000+150000+10000+150000+90000+25000+23947+150000+100000+100000+100000+75000</f>
        <v>1123947</v>
      </c>
      <c r="P171" s="27">
        <v>449578</v>
      </c>
      <c r="Q171" s="27"/>
      <c r="R171" s="27"/>
      <c r="S171" s="27"/>
      <c r="T171" s="22">
        <f t="shared" si="13"/>
        <v>1573525</v>
      </c>
      <c r="U171" s="23"/>
      <c r="V171" s="23">
        <f t="shared" si="14"/>
        <v>0</v>
      </c>
      <c r="W171" s="23">
        <f t="shared" si="15"/>
        <v>1573525</v>
      </c>
      <c r="X171" s="23">
        <f t="shared" si="16"/>
        <v>0</v>
      </c>
      <c r="Y171" s="24">
        <f t="shared" si="17"/>
        <v>2.2289777849638585E-2</v>
      </c>
      <c r="Z171" s="18" t="s">
        <v>64</v>
      </c>
    </row>
    <row r="172" spans="1:26" x14ac:dyDescent="0.25">
      <c r="A172" s="1" t="s">
        <v>25</v>
      </c>
      <c r="B172" s="16">
        <v>163</v>
      </c>
      <c r="C172" s="16" t="s">
        <v>541</v>
      </c>
      <c r="D172" s="17" t="s">
        <v>542</v>
      </c>
      <c r="E172" s="17"/>
      <c r="F172" s="16" t="s">
        <v>78</v>
      </c>
      <c r="G172" s="16">
        <v>312</v>
      </c>
      <c r="H172" s="19" t="s">
        <v>543</v>
      </c>
      <c r="I172" s="26">
        <v>1386000</v>
      </c>
      <c r="J172" s="26"/>
      <c r="K172" s="26"/>
      <c r="L172" s="26"/>
      <c r="M172" s="26"/>
      <c r="N172" s="26">
        <f t="shared" si="12"/>
        <v>1386000</v>
      </c>
      <c r="O172" s="27">
        <f>163392+124292+100000+128118</f>
        <v>515802</v>
      </c>
      <c r="P172" s="27"/>
      <c r="Q172" s="27"/>
      <c r="R172" s="27"/>
      <c r="S172" s="27"/>
      <c r="T172" s="22">
        <f t="shared" si="13"/>
        <v>515802</v>
      </c>
      <c r="U172" s="23"/>
      <c r="V172" s="23">
        <f t="shared" si="14"/>
        <v>870198</v>
      </c>
      <c r="W172" s="23">
        <f t="shared" si="15"/>
        <v>1386000</v>
      </c>
      <c r="X172" s="23">
        <f t="shared" si="16"/>
        <v>0</v>
      </c>
      <c r="Y172" s="24">
        <f t="shared" si="17"/>
        <v>7.3065963326920643E-3</v>
      </c>
      <c r="Z172" s="17" t="s">
        <v>47</v>
      </c>
    </row>
    <row r="173" spans="1:26" x14ac:dyDescent="0.25">
      <c r="A173" s="1" t="s">
        <v>25</v>
      </c>
      <c r="B173" s="16">
        <v>164</v>
      </c>
      <c r="C173" s="16" t="s">
        <v>544</v>
      </c>
      <c r="D173" s="17" t="s">
        <v>545</v>
      </c>
      <c r="E173" s="17"/>
      <c r="F173" s="16" t="s">
        <v>546</v>
      </c>
      <c r="G173" s="16">
        <v>405</v>
      </c>
      <c r="H173" s="19" t="s">
        <v>547</v>
      </c>
      <c r="I173" s="26">
        <v>1101549</v>
      </c>
      <c r="J173" s="26"/>
      <c r="K173" s="26"/>
      <c r="L173" s="26"/>
      <c r="M173" s="26"/>
      <c r="N173" s="26">
        <f t="shared" si="12"/>
        <v>1101549</v>
      </c>
      <c r="O173" s="27">
        <v>153750</v>
      </c>
      <c r="P173" s="27"/>
      <c r="Q173" s="27"/>
      <c r="R173" s="27"/>
      <c r="S173" s="27"/>
      <c r="T173" s="22">
        <f t="shared" si="13"/>
        <v>153750</v>
      </c>
      <c r="U173" s="23">
        <v>947799</v>
      </c>
      <c r="V173" s="23">
        <f t="shared" si="14"/>
        <v>0</v>
      </c>
      <c r="W173" s="23">
        <f t="shared" si="15"/>
        <v>1101549</v>
      </c>
      <c r="X173" s="23">
        <f t="shared" si="16"/>
        <v>0</v>
      </c>
      <c r="Y173" s="24">
        <f t="shared" si="17"/>
        <v>2.1779465495508064E-3</v>
      </c>
      <c r="Z173" s="17" t="s">
        <v>47</v>
      </c>
    </row>
    <row r="174" spans="1:26" x14ac:dyDescent="0.25">
      <c r="A174" s="1" t="s">
        <v>25</v>
      </c>
      <c r="B174" s="16">
        <v>165</v>
      </c>
      <c r="C174" s="16" t="s">
        <v>548</v>
      </c>
      <c r="D174" s="17" t="s">
        <v>549</v>
      </c>
      <c r="E174" s="17"/>
      <c r="F174" s="16" t="s">
        <v>117</v>
      </c>
      <c r="G174" s="16">
        <v>202</v>
      </c>
      <c r="H174" s="19" t="s">
        <v>550</v>
      </c>
      <c r="I174" s="26">
        <v>380000</v>
      </c>
      <c r="J174" s="26">
        <v>860320</v>
      </c>
      <c r="K174" s="26"/>
      <c r="L174" s="26"/>
      <c r="M174" s="26"/>
      <c r="N174" s="26">
        <f t="shared" si="12"/>
        <v>1240320</v>
      </c>
      <c r="O174" s="27">
        <f>75000+25000+75000+63000+37000+5000+100000</f>
        <v>380000</v>
      </c>
      <c r="P174" s="27">
        <f>+J174/18%*8%</f>
        <v>382364.4444444445</v>
      </c>
      <c r="Q174" s="27"/>
      <c r="R174" s="27"/>
      <c r="S174" s="27"/>
      <c r="T174" s="22">
        <f t="shared" si="13"/>
        <v>762364.4444444445</v>
      </c>
      <c r="U174" s="23"/>
      <c r="V174" s="23">
        <f t="shared" si="14"/>
        <v>477955.5555555555</v>
      </c>
      <c r="W174" s="23">
        <f t="shared" si="15"/>
        <v>1240320</v>
      </c>
      <c r="X174" s="23">
        <f t="shared" si="16"/>
        <v>0</v>
      </c>
      <c r="Y174" s="24">
        <f t="shared" si="17"/>
        <v>1.0799278122133302E-2</v>
      </c>
      <c r="Z174" s="17" t="s">
        <v>47</v>
      </c>
    </row>
    <row r="175" spans="1:26" x14ac:dyDescent="0.25">
      <c r="A175" s="1" t="s">
        <v>25</v>
      </c>
      <c r="B175" s="16">
        <v>166</v>
      </c>
      <c r="C175" s="16" t="s">
        <v>551</v>
      </c>
      <c r="D175" s="17" t="s">
        <v>552</v>
      </c>
      <c r="E175" s="17"/>
      <c r="F175" s="16" t="s">
        <v>78</v>
      </c>
      <c r="G175" s="16">
        <v>119</v>
      </c>
      <c r="H175" s="19" t="s">
        <v>553</v>
      </c>
      <c r="I175" s="26">
        <f>563991+161000</f>
        <v>724991</v>
      </c>
      <c r="J175" s="26">
        <v>130498</v>
      </c>
      <c r="K175" s="26"/>
      <c r="L175" s="26"/>
      <c r="M175" s="26"/>
      <c r="N175" s="26">
        <f t="shared" si="12"/>
        <v>855489</v>
      </c>
      <c r="O175" s="27">
        <f>161000+563991</f>
        <v>724991</v>
      </c>
      <c r="P175" s="27">
        <f>+J175/18%*8%</f>
        <v>57999.111111111109</v>
      </c>
      <c r="Q175" s="27"/>
      <c r="R175" s="27"/>
      <c r="S175" s="27"/>
      <c r="T175" s="22">
        <f t="shared" si="13"/>
        <v>782990.11111111112</v>
      </c>
      <c r="U175" s="23"/>
      <c r="V175" s="23">
        <f t="shared" si="14"/>
        <v>72498.888888888891</v>
      </c>
      <c r="W175" s="23">
        <f t="shared" si="15"/>
        <v>855489</v>
      </c>
      <c r="X175" s="23">
        <f t="shared" si="16"/>
        <v>0</v>
      </c>
      <c r="Y175" s="24">
        <f t="shared" si="17"/>
        <v>1.1091451127329085E-2</v>
      </c>
      <c r="Z175" s="17" t="s">
        <v>47</v>
      </c>
    </row>
    <row r="176" spans="1:26" ht="47.25" x14ac:dyDescent="0.25">
      <c r="A176" s="1" t="s">
        <v>25</v>
      </c>
      <c r="B176" s="16">
        <v>167</v>
      </c>
      <c r="C176" s="16" t="s">
        <v>554</v>
      </c>
      <c r="D176" s="33" t="s">
        <v>555</v>
      </c>
      <c r="E176" s="17"/>
      <c r="F176" s="16" t="s">
        <v>82</v>
      </c>
      <c r="G176" s="32" t="s">
        <v>556</v>
      </c>
      <c r="H176" s="19" t="s">
        <v>557</v>
      </c>
      <c r="I176" s="26">
        <v>9475480</v>
      </c>
      <c r="J176" s="26">
        <f>20252940-I176</f>
        <v>10777460</v>
      </c>
      <c r="K176" s="26"/>
      <c r="L176" s="26"/>
      <c r="M176" s="26"/>
      <c r="N176" s="26">
        <f t="shared" si="12"/>
        <v>20252940</v>
      </c>
      <c r="O176" s="27">
        <f>2368870*4</f>
        <v>9475480</v>
      </c>
      <c r="P176" s="27">
        <f>+J176/18%*8%</f>
        <v>4789982.2222222229</v>
      </c>
      <c r="Q176" s="27"/>
      <c r="R176" s="27"/>
      <c r="S176" s="27"/>
      <c r="T176" s="22">
        <f t="shared" si="13"/>
        <v>14265462.222222224</v>
      </c>
      <c r="U176" s="23"/>
      <c r="V176" s="23">
        <f t="shared" si="14"/>
        <v>5987477.7777777771</v>
      </c>
      <c r="W176" s="23">
        <f t="shared" si="15"/>
        <v>20252940</v>
      </c>
      <c r="X176" s="23">
        <f t="shared" si="16"/>
        <v>0</v>
      </c>
      <c r="Y176" s="24">
        <f t="shared" si="17"/>
        <v>0.20207749089194324</v>
      </c>
      <c r="Z176" s="18" t="s">
        <v>64</v>
      </c>
    </row>
    <row r="177" spans="1:26" x14ac:dyDescent="0.25">
      <c r="A177" s="1" t="s">
        <v>25</v>
      </c>
      <c r="B177" s="16">
        <v>168</v>
      </c>
      <c r="C177" s="16" t="s">
        <v>558</v>
      </c>
      <c r="D177" s="17" t="s">
        <v>559</v>
      </c>
      <c r="E177" s="17"/>
      <c r="F177" s="16" t="s">
        <v>78</v>
      </c>
      <c r="G177" s="16">
        <v>122</v>
      </c>
      <c r="H177" s="19" t="s">
        <v>560</v>
      </c>
      <c r="I177" s="26">
        <v>671064</v>
      </c>
      <c r="J177" s="26">
        <v>120792</v>
      </c>
      <c r="K177" s="26"/>
      <c r="L177" s="26"/>
      <c r="M177" s="26"/>
      <c r="N177" s="26">
        <f t="shared" si="12"/>
        <v>791856</v>
      </c>
      <c r="O177" s="27">
        <v>671064</v>
      </c>
      <c r="P177" s="27">
        <f>+J177/18%*8%</f>
        <v>53685.333333333343</v>
      </c>
      <c r="Q177" s="27"/>
      <c r="R177" s="27"/>
      <c r="S177" s="27"/>
      <c r="T177" s="22">
        <f t="shared" si="13"/>
        <v>724749.33333333337</v>
      </c>
      <c r="U177" s="23"/>
      <c r="V177" s="23">
        <f t="shared" si="14"/>
        <v>67106.666666666657</v>
      </c>
      <c r="W177" s="23">
        <f t="shared" si="15"/>
        <v>791856</v>
      </c>
      <c r="X177" s="23">
        <f t="shared" si="16"/>
        <v>0</v>
      </c>
      <c r="Y177" s="24">
        <f t="shared" si="17"/>
        <v>1.0266441039496458E-2</v>
      </c>
      <c r="Z177" s="17" t="s">
        <v>47</v>
      </c>
    </row>
    <row r="178" spans="1:26" x14ac:dyDescent="0.25">
      <c r="A178" s="34" t="s">
        <v>25</v>
      </c>
      <c r="B178" s="16">
        <v>169</v>
      </c>
      <c r="C178" s="16" t="s">
        <v>561</v>
      </c>
      <c r="D178" s="17" t="s">
        <v>562</v>
      </c>
      <c r="E178" s="17"/>
      <c r="F178" s="16"/>
      <c r="G178" s="16"/>
      <c r="H178" s="19" t="s">
        <v>563</v>
      </c>
      <c r="I178" s="26">
        <f>1692500+2405000+2402500</f>
        <v>6500000</v>
      </c>
      <c r="J178" s="26"/>
      <c r="K178" s="26"/>
      <c r="L178" s="26"/>
      <c r="M178" s="26"/>
      <c r="N178" s="26">
        <f t="shared" si="12"/>
        <v>6500000</v>
      </c>
      <c r="O178" s="27"/>
      <c r="P178" s="27"/>
      <c r="Q178" s="27"/>
      <c r="R178" s="27"/>
      <c r="S178" s="27"/>
      <c r="T178" s="22">
        <f t="shared" si="13"/>
        <v>0</v>
      </c>
      <c r="U178" s="23">
        <v>6500000</v>
      </c>
      <c r="V178" s="23">
        <f t="shared" si="14"/>
        <v>0</v>
      </c>
      <c r="W178" s="23">
        <f t="shared" si="15"/>
        <v>6500000</v>
      </c>
      <c r="X178" s="23">
        <f t="shared" si="16"/>
        <v>0</v>
      </c>
      <c r="Y178" s="24">
        <f t="shared" si="17"/>
        <v>0</v>
      </c>
      <c r="Z178" s="17" t="s">
        <v>47</v>
      </c>
    </row>
    <row r="179" spans="1:26" x14ac:dyDescent="0.25">
      <c r="A179" s="1" t="s">
        <v>25</v>
      </c>
      <c r="B179" s="16">
        <v>170</v>
      </c>
      <c r="C179" s="16" t="s">
        <v>564</v>
      </c>
      <c r="D179" s="17" t="s">
        <v>565</v>
      </c>
      <c r="E179" s="17"/>
      <c r="F179" s="16" t="s">
        <v>155</v>
      </c>
      <c r="G179" s="16">
        <v>1103</v>
      </c>
      <c r="H179" s="19" t="s">
        <v>566</v>
      </c>
      <c r="I179" s="26">
        <v>5375447</v>
      </c>
      <c r="J179" s="26"/>
      <c r="K179" s="26"/>
      <c r="L179" s="26"/>
      <c r="M179" s="26"/>
      <c r="N179" s="26">
        <f t="shared" si="12"/>
        <v>5375447</v>
      </c>
      <c r="O179" s="27">
        <f>297930+695034+523028+2337+523028</f>
        <v>2041357</v>
      </c>
      <c r="P179" s="27"/>
      <c r="Q179" s="27"/>
      <c r="R179" s="27"/>
      <c r="S179" s="27"/>
      <c r="T179" s="22">
        <f t="shared" si="13"/>
        <v>2041357</v>
      </c>
      <c r="U179" s="23"/>
      <c r="V179" s="23">
        <f t="shared" si="14"/>
        <v>3334090</v>
      </c>
      <c r="W179" s="23">
        <f t="shared" si="15"/>
        <v>5375447</v>
      </c>
      <c r="X179" s="23">
        <f t="shared" si="16"/>
        <v>0</v>
      </c>
      <c r="Y179" s="24">
        <f t="shared" si="17"/>
        <v>2.89168548588708E-2</v>
      </c>
      <c r="Z179" s="17"/>
    </row>
    <row r="180" spans="1:26" ht="47.25" x14ac:dyDescent="0.25">
      <c r="A180" s="1" t="s">
        <v>25</v>
      </c>
      <c r="B180" s="16">
        <v>171</v>
      </c>
      <c r="C180" s="16" t="s">
        <v>567</v>
      </c>
      <c r="D180" s="17" t="s">
        <v>568</v>
      </c>
      <c r="E180" s="17"/>
      <c r="F180" s="16" t="s">
        <v>173</v>
      </c>
      <c r="G180" s="16">
        <v>109</v>
      </c>
      <c r="H180" s="19" t="s">
        <v>569</v>
      </c>
      <c r="I180" s="26">
        <f>5000+63796+42998+42998+1059845+5000</f>
        <v>1219637</v>
      </c>
      <c r="J180" s="26">
        <v>660275</v>
      </c>
      <c r="K180" s="26"/>
      <c r="L180" s="26"/>
      <c r="M180" s="26"/>
      <c r="N180" s="26">
        <f t="shared" si="12"/>
        <v>1879912</v>
      </c>
      <c r="O180" s="27">
        <f>5000+63796+42998+42998+1059845+5000</f>
        <v>1219637</v>
      </c>
      <c r="P180" s="27">
        <f>+J180/10.35%*8%</f>
        <v>510357.48792270536</v>
      </c>
      <c r="Q180" s="27"/>
      <c r="R180" s="27"/>
      <c r="S180" s="27"/>
      <c r="T180" s="22">
        <f t="shared" si="13"/>
        <v>1729994.4879227052</v>
      </c>
      <c r="U180" s="23"/>
      <c r="V180" s="23">
        <f t="shared" si="14"/>
        <v>149917.51207729464</v>
      </c>
      <c r="W180" s="23">
        <f t="shared" si="15"/>
        <v>1879912</v>
      </c>
      <c r="X180" s="23">
        <f t="shared" si="16"/>
        <v>0</v>
      </c>
      <c r="Y180" s="24">
        <f t="shared" si="17"/>
        <v>2.4506247321711673E-2</v>
      </c>
      <c r="Z180" s="18" t="s">
        <v>64</v>
      </c>
    </row>
    <row r="181" spans="1:26" ht="47.25" x14ac:dyDescent="0.25">
      <c r="A181" s="1" t="s">
        <v>25</v>
      </c>
      <c r="B181" s="16">
        <v>172</v>
      </c>
      <c r="C181" s="16" t="s">
        <v>570</v>
      </c>
      <c r="D181" s="17" t="s">
        <v>571</v>
      </c>
      <c r="E181" s="17"/>
      <c r="F181" s="16" t="s">
        <v>395</v>
      </c>
      <c r="G181" s="16">
        <v>303</v>
      </c>
      <c r="H181" s="19" t="s">
        <v>572</v>
      </c>
      <c r="I181" s="26">
        <v>883032</v>
      </c>
      <c r="J181" s="26"/>
      <c r="K181" s="26"/>
      <c r="L181" s="26"/>
      <c r="M181" s="26"/>
      <c r="N181" s="26">
        <f t="shared" si="12"/>
        <v>883032</v>
      </c>
      <c r="O181" s="27">
        <f>10250+40000+30000+30000+48000+50000+49000+100000+25000+22000+100000+47000+4542+150000+177240</f>
        <v>883032</v>
      </c>
      <c r="P181" s="27"/>
      <c r="Q181" s="27"/>
      <c r="R181" s="27"/>
      <c r="S181" s="27"/>
      <c r="T181" s="22">
        <f t="shared" si="13"/>
        <v>883032</v>
      </c>
      <c r="U181" s="23"/>
      <c r="V181" s="23">
        <f t="shared" si="14"/>
        <v>0</v>
      </c>
      <c r="W181" s="23">
        <f t="shared" si="15"/>
        <v>883032</v>
      </c>
      <c r="X181" s="23">
        <f t="shared" si="16"/>
        <v>0</v>
      </c>
      <c r="Y181" s="24">
        <f t="shared" si="17"/>
        <v>1.250859510597039E-2</v>
      </c>
      <c r="Z181" s="18" t="s">
        <v>64</v>
      </c>
    </row>
    <row r="182" spans="1:26" x14ac:dyDescent="0.25">
      <c r="A182" s="1" t="s">
        <v>25</v>
      </c>
      <c r="B182" s="16">
        <v>173</v>
      </c>
      <c r="C182" s="16" t="s">
        <v>573</v>
      </c>
      <c r="D182" s="17" t="s">
        <v>574</v>
      </c>
      <c r="E182" s="17"/>
      <c r="F182" s="16"/>
      <c r="G182" s="16"/>
      <c r="H182" s="19" t="s">
        <v>575</v>
      </c>
      <c r="I182" s="26">
        <v>325000</v>
      </c>
      <c r="J182" s="26"/>
      <c r="K182" s="26"/>
      <c r="L182" s="26"/>
      <c r="M182" s="26"/>
      <c r="N182" s="26">
        <f t="shared" si="12"/>
        <v>325000</v>
      </c>
      <c r="O182" s="27">
        <f>500+1000+50750+3570</f>
        <v>55820</v>
      </c>
      <c r="P182" s="27"/>
      <c r="Q182" s="27"/>
      <c r="R182" s="27"/>
      <c r="S182" s="27"/>
      <c r="T182" s="22">
        <f t="shared" si="13"/>
        <v>55820</v>
      </c>
      <c r="U182" s="23"/>
      <c r="V182" s="23">
        <f t="shared" si="14"/>
        <v>269180</v>
      </c>
      <c r="W182" s="23">
        <f t="shared" si="15"/>
        <v>325000</v>
      </c>
      <c r="X182" s="23">
        <f t="shared" si="16"/>
        <v>0</v>
      </c>
      <c r="Y182" s="24">
        <f t="shared" si="17"/>
        <v>7.9071854566455937E-4</v>
      </c>
      <c r="Z182" s="17" t="s">
        <v>47</v>
      </c>
    </row>
    <row r="183" spans="1:26" ht="47.25" x14ac:dyDescent="0.25">
      <c r="A183" s="1" t="s">
        <v>25</v>
      </c>
      <c r="B183" s="16">
        <v>174</v>
      </c>
      <c r="C183" s="16" t="s">
        <v>576</v>
      </c>
      <c r="D183" s="17" t="s">
        <v>577</v>
      </c>
      <c r="E183" s="17"/>
      <c r="F183" s="16" t="s">
        <v>173</v>
      </c>
      <c r="G183" s="16">
        <v>503</v>
      </c>
      <c r="H183" s="19" t="s">
        <v>578</v>
      </c>
      <c r="I183" s="26">
        <v>230861</v>
      </c>
      <c r="J183" s="26"/>
      <c r="K183" s="26"/>
      <c r="L183" s="26"/>
      <c r="M183" s="26"/>
      <c r="N183" s="26">
        <f t="shared" si="12"/>
        <v>230861</v>
      </c>
      <c r="O183" s="27">
        <f>21000+40000+53200+81800+33861</f>
        <v>229861</v>
      </c>
      <c r="P183" s="27"/>
      <c r="Q183" s="27"/>
      <c r="R183" s="27"/>
      <c r="S183" s="27"/>
      <c r="T183" s="22">
        <f t="shared" si="13"/>
        <v>229861</v>
      </c>
      <c r="U183" s="23"/>
      <c r="V183" s="23">
        <f t="shared" si="14"/>
        <v>1000</v>
      </c>
      <c r="W183" s="23">
        <f t="shared" si="15"/>
        <v>230861</v>
      </c>
      <c r="X183" s="23">
        <f t="shared" si="16"/>
        <v>0</v>
      </c>
      <c r="Y183" s="24">
        <f t="shared" si="17"/>
        <v>3.2560973777320187E-3</v>
      </c>
      <c r="Z183" s="18" t="s">
        <v>64</v>
      </c>
    </row>
    <row r="184" spans="1:26" x14ac:dyDescent="0.25">
      <c r="A184" s="1" t="s">
        <v>25</v>
      </c>
      <c r="B184" s="16">
        <v>175</v>
      </c>
      <c r="C184" s="16" t="s">
        <v>579</v>
      </c>
      <c r="D184" s="17" t="s">
        <v>580</v>
      </c>
      <c r="E184" s="17"/>
      <c r="F184" s="16"/>
      <c r="G184" s="16"/>
      <c r="H184" s="19" t="s">
        <v>581</v>
      </c>
      <c r="I184" s="26">
        <f>332750+1090286</f>
        <v>1423036</v>
      </c>
      <c r="J184" s="26">
        <v>1273761</v>
      </c>
      <c r="K184" s="26"/>
      <c r="L184" s="26">
        <f>83200+16700</f>
        <v>99900</v>
      </c>
      <c r="M184" s="26">
        <v>600000</v>
      </c>
      <c r="N184" s="26">
        <f t="shared" si="12"/>
        <v>3396697</v>
      </c>
      <c r="O184" s="27">
        <f>332750+1053754</f>
        <v>1386504</v>
      </c>
      <c r="P184" s="27">
        <f>+J184/12%*8%</f>
        <v>849174</v>
      </c>
      <c r="Q184" s="27"/>
      <c r="R184" s="27"/>
      <c r="S184" s="27"/>
      <c r="T184" s="22">
        <f t="shared" si="13"/>
        <v>2235678</v>
      </c>
      <c r="U184" s="23"/>
      <c r="V184" s="23">
        <f t="shared" si="14"/>
        <v>1161019</v>
      </c>
      <c r="W184" s="23">
        <f t="shared" si="15"/>
        <v>3396697</v>
      </c>
      <c r="X184" s="23">
        <f t="shared" si="16"/>
        <v>0</v>
      </c>
      <c r="Y184" s="24">
        <f t="shared" si="17"/>
        <v>3.1669510152888762E-2</v>
      </c>
      <c r="Z184" s="17" t="s">
        <v>47</v>
      </c>
    </row>
    <row r="185" spans="1:26" ht="47.25" x14ac:dyDescent="0.25">
      <c r="A185" s="1" t="s">
        <v>25</v>
      </c>
      <c r="B185" s="16">
        <v>176</v>
      </c>
      <c r="C185" s="16" t="s">
        <v>582</v>
      </c>
      <c r="D185" s="17" t="s">
        <v>583</v>
      </c>
      <c r="E185" s="17"/>
      <c r="F185" s="16" t="s">
        <v>440</v>
      </c>
      <c r="G185" s="16">
        <v>1106</v>
      </c>
      <c r="H185" s="19" t="s">
        <v>584</v>
      </c>
      <c r="I185" s="26">
        <v>537162</v>
      </c>
      <c r="J185" s="26"/>
      <c r="K185" s="26"/>
      <c r="L185" s="26"/>
      <c r="M185" s="26"/>
      <c r="N185" s="26">
        <f t="shared" si="12"/>
        <v>537162</v>
      </c>
      <c r="O185" s="27">
        <f>50000+11000+165568+150413+100000+45238+14943</f>
        <v>537162</v>
      </c>
      <c r="P185" s="27"/>
      <c r="Q185" s="27"/>
      <c r="R185" s="27"/>
      <c r="S185" s="27"/>
      <c r="T185" s="22">
        <f t="shared" si="13"/>
        <v>537162</v>
      </c>
      <c r="U185" s="23"/>
      <c r="V185" s="23">
        <f t="shared" si="14"/>
        <v>0</v>
      </c>
      <c r="W185" s="23">
        <f t="shared" si="15"/>
        <v>537162</v>
      </c>
      <c r="X185" s="23">
        <f t="shared" si="16"/>
        <v>0</v>
      </c>
      <c r="Y185" s="24">
        <f t="shared" si="17"/>
        <v>7.6091715411369769E-3</v>
      </c>
      <c r="Z185" s="18" t="s">
        <v>64</v>
      </c>
    </row>
    <row r="186" spans="1:26" x14ac:dyDescent="0.25">
      <c r="A186" s="1" t="s">
        <v>25</v>
      </c>
      <c r="B186" s="16">
        <v>177</v>
      </c>
      <c r="C186" s="16" t="s">
        <v>585</v>
      </c>
      <c r="D186" s="17" t="s">
        <v>586</v>
      </c>
      <c r="E186" s="17"/>
      <c r="F186" s="16"/>
      <c r="G186" s="16">
        <v>706</v>
      </c>
      <c r="H186" s="19" t="s">
        <v>587</v>
      </c>
      <c r="I186" s="26">
        <f>2500000-618538</f>
        <v>1881462</v>
      </c>
      <c r="J186" s="26">
        <v>618538</v>
      </c>
      <c r="K186" s="26"/>
      <c r="L186" s="26"/>
      <c r="M186" s="26"/>
      <c r="N186" s="26">
        <f t="shared" si="12"/>
        <v>2500000</v>
      </c>
      <c r="O186" s="27">
        <f>5922+7933+140303+1024317+104725+25000+80100+40000+25000</f>
        <v>1453300</v>
      </c>
      <c r="P186" s="27">
        <f>+J186/21%*8%</f>
        <v>235633.52380952382</v>
      </c>
      <c r="Q186" s="27"/>
      <c r="R186" s="27"/>
      <c r="S186" s="27"/>
      <c r="T186" s="22">
        <f t="shared" si="13"/>
        <v>1688933.5238095238</v>
      </c>
      <c r="U186" s="23"/>
      <c r="V186" s="23">
        <f t="shared" si="14"/>
        <v>811066.47619047621</v>
      </c>
      <c r="W186" s="23">
        <f t="shared" si="15"/>
        <v>2500000</v>
      </c>
      <c r="X186" s="23">
        <f t="shared" si="16"/>
        <v>0</v>
      </c>
      <c r="Y186" s="24">
        <f t="shared" si="17"/>
        <v>2.392459798765292E-2</v>
      </c>
      <c r="Z186" s="17" t="s">
        <v>42</v>
      </c>
    </row>
    <row r="187" spans="1:26" x14ac:dyDescent="0.25">
      <c r="A187" s="1" t="s">
        <v>25</v>
      </c>
      <c r="B187" s="16">
        <v>178</v>
      </c>
      <c r="C187" s="16" t="s">
        <v>588</v>
      </c>
      <c r="D187" s="17" t="s">
        <v>589</v>
      </c>
      <c r="E187" s="17"/>
      <c r="F187" s="16" t="s">
        <v>35</v>
      </c>
      <c r="G187" s="16">
        <v>607</v>
      </c>
      <c r="H187" s="19" t="s">
        <v>590</v>
      </c>
      <c r="I187" s="26">
        <v>1811228</v>
      </c>
      <c r="J187" s="26">
        <f>3278321-I187</f>
        <v>1467093</v>
      </c>
      <c r="K187" s="26"/>
      <c r="L187" s="26"/>
      <c r="M187" s="26"/>
      <c r="N187" s="26">
        <f t="shared" si="12"/>
        <v>3278321</v>
      </c>
      <c r="O187" s="27">
        <f>993504+21327</f>
        <v>1014831</v>
      </c>
      <c r="P187" s="27">
        <f>+J187/18%*8%</f>
        <v>652041.33333333337</v>
      </c>
      <c r="Q187" s="27"/>
      <c r="R187" s="27"/>
      <c r="S187" s="27"/>
      <c r="T187" s="22">
        <f t="shared" si="13"/>
        <v>1666872.3333333335</v>
      </c>
      <c r="U187" s="23"/>
      <c r="V187" s="23">
        <f t="shared" si="14"/>
        <v>1611448.6666666665</v>
      </c>
      <c r="W187" s="23">
        <f t="shared" si="15"/>
        <v>3278321</v>
      </c>
      <c r="X187" s="23">
        <f t="shared" si="16"/>
        <v>0</v>
      </c>
      <c r="Y187" s="24">
        <f t="shared" si="17"/>
        <v>2.3612090061301043E-2</v>
      </c>
      <c r="Z187" s="17" t="s">
        <v>47</v>
      </c>
    </row>
    <row r="188" spans="1:26" x14ac:dyDescent="0.25">
      <c r="A188" s="1" t="s">
        <v>25</v>
      </c>
      <c r="B188" s="16">
        <v>179</v>
      </c>
      <c r="C188" s="16" t="s">
        <v>591</v>
      </c>
      <c r="D188" s="17" t="s">
        <v>592</v>
      </c>
      <c r="E188" s="17"/>
      <c r="F188" s="16" t="s">
        <v>100</v>
      </c>
      <c r="G188" s="16" t="s">
        <v>593</v>
      </c>
      <c r="H188" s="19" t="s">
        <v>594</v>
      </c>
      <c r="I188" s="26">
        <v>2126376</v>
      </c>
      <c r="J188" s="26"/>
      <c r="K188" s="26"/>
      <c r="L188" s="26"/>
      <c r="M188" s="26"/>
      <c r="N188" s="26">
        <f t="shared" si="12"/>
        <v>2126376</v>
      </c>
      <c r="O188" s="27">
        <f>769076+508682+190486</f>
        <v>1468244</v>
      </c>
      <c r="P188" s="27"/>
      <c r="Q188" s="27"/>
      <c r="R188" s="27"/>
      <c r="S188" s="27"/>
      <c r="T188" s="22">
        <f t="shared" si="13"/>
        <v>1468244</v>
      </c>
      <c r="U188" s="23"/>
      <c r="V188" s="23">
        <f t="shared" si="14"/>
        <v>658132</v>
      </c>
      <c r="W188" s="23">
        <f t="shared" si="15"/>
        <v>2126376</v>
      </c>
      <c r="X188" s="23">
        <f t="shared" si="16"/>
        <v>0</v>
      </c>
      <c r="Y188" s="24">
        <f t="shared" si="17"/>
        <v>2.0798419211048289E-2</v>
      </c>
      <c r="Z188" s="17" t="s">
        <v>47</v>
      </c>
    </row>
    <row r="189" spans="1:26" x14ac:dyDescent="0.25">
      <c r="A189" s="1" t="s">
        <v>25</v>
      </c>
      <c r="B189" s="16">
        <v>180</v>
      </c>
      <c r="C189" s="16" t="s">
        <v>595</v>
      </c>
      <c r="D189" s="17" t="s">
        <v>596</v>
      </c>
      <c r="E189" s="17"/>
      <c r="F189" s="16" t="s">
        <v>100</v>
      </c>
      <c r="G189" s="16">
        <v>704</v>
      </c>
      <c r="H189" s="19" t="s">
        <v>597</v>
      </c>
      <c r="I189" s="26">
        <v>2500000</v>
      </c>
      <c r="J189" s="26"/>
      <c r="K189" s="26"/>
      <c r="L189" s="26"/>
      <c r="M189" s="26"/>
      <c r="N189" s="26">
        <f t="shared" si="12"/>
        <v>2500000</v>
      </c>
      <c r="O189" s="27"/>
      <c r="P189" s="27"/>
      <c r="Q189" s="27"/>
      <c r="R189" s="27"/>
      <c r="S189" s="27"/>
      <c r="T189" s="22">
        <f t="shared" si="13"/>
        <v>0</v>
      </c>
      <c r="U189" s="23">
        <v>2500000</v>
      </c>
      <c r="V189" s="23">
        <f t="shared" si="14"/>
        <v>0</v>
      </c>
      <c r="W189" s="23">
        <f t="shared" si="15"/>
        <v>2500000</v>
      </c>
      <c r="X189" s="23">
        <f t="shared" si="16"/>
        <v>0</v>
      </c>
      <c r="Y189" s="24">
        <f t="shared" si="17"/>
        <v>0</v>
      </c>
      <c r="Z189" s="17" t="s">
        <v>42</v>
      </c>
    </row>
    <row r="190" spans="1:26" x14ac:dyDescent="0.25">
      <c r="A190" s="1" t="s">
        <v>25</v>
      </c>
      <c r="B190" s="16">
        <v>181</v>
      </c>
      <c r="C190" s="16" t="s">
        <v>598</v>
      </c>
      <c r="D190" s="17" t="s">
        <v>599</v>
      </c>
      <c r="E190" s="17"/>
      <c r="F190" s="16" t="s">
        <v>600</v>
      </c>
      <c r="G190" s="16">
        <v>401</v>
      </c>
      <c r="H190" s="19" t="s">
        <v>601</v>
      </c>
      <c r="I190" s="26">
        <v>400000</v>
      </c>
      <c r="J190" s="26">
        <v>672000</v>
      </c>
      <c r="K190" s="26"/>
      <c r="L190" s="26"/>
      <c r="M190" s="26"/>
      <c r="N190" s="26">
        <f t="shared" si="12"/>
        <v>1072000</v>
      </c>
      <c r="O190" s="27">
        <f>45000+60000+5000+60000</f>
        <v>170000</v>
      </c>
      <c r="P190" s="27"/>
      <c r="Q190" s="27"/>
      <c r="R190" s="27"/>
      <c r="S190" s="27"/>
      <c r="T190" s="22">
        <f t="shared" si="13"/>
        <v>170000</v>
      </c>
      <c r="U190" s="23">
        <v>902000</v>
      </c>
      <c r="V190" s="23">
        <f t="shared" si="14"/>
        <v>0</v>
      </c>
      <c r="W190" s="23">
        <f t="shared" si="15"/>
        <v>1072000</v>
      </c>
      <c r="X190" s="23">
        <f t="shared" si="16"/>
        <v>0</v>
      </c>
      <c r="Y190" s="24">
        <f t="shared" si="17"/>
        <v>2.4081360222675584E-3</v>
      </c>
      <c r="Z190" s="17" t="s">
        <v>42</v>
      </c>
    </row>
    <row r="191" spans="1:26" x14ac:dyDescent="0.25">
      <c r="A191" s="1" t="s">
        <v>25</v>
      </c>
      <c r="B191" s="16">
        <v>182</v>
      </c>
      <c r="C191" s="16" t="s">
        <v>602</v>
      </c>
      <c r="D191" s="17" t="s">
        <v>603</v>
      </c>
      <c r="E191" s="17"/>
      <c r="F191" s="16"/>
      <c r="G191" s="16"/>
      <c r="H191" s="19" t="s">
        <v>604</v>
      </c>
      <c r="I191" s="26">
        <v>22156963</v>
      </c>
      <c r="J191" s="26">
        <v>108304969</v>
      </c>
      <c r="K191" s="26"/>
      <c r="L191" s="26"/>
      <c r="M191" s="26"/>
      <c r="N191" s="26">
        <f t="shared" si="12"/>
        <v>130461932</v>
      </c>
      <c r="O191" s="27">
        <v>22156963</v>
      </c>
      <c r="P191" s="27">
        <f>43679103/26*8</f>
        <v>13439724</v>
      </c>
      <c r="Q191" s="27"/>
      <c r="R191" s="27"/>
      <c r="S191" s="27"/>
      <c r="T191" s="22">
        <f t="shared" si="13"/>
        <v>35596687</v>
      </c>
      <c r="U191" s="23">
        <v>30239379</v>
      </c>
      <c r="V191" s="23">
        <v>64625866</v>
      </c>
      <c r="W191" s="23">
        <f t="shared" si="15"/>
        <v>130461932</v>
      </c>
      <c r="X191" s="23">
        <f t="shared" si="16"/>
        <v>0</v>
      </c>
      <c r="Y191" s="24">
        <f t="shared" si="17"/>
        <v>0.50424508375343113</v>
      </c>
      <c r="Z191" s="17" t="s">
        <v>42</v>
      </c>
    </row>
    <row r="192" spans="1:26" x14ac:dyDescent="0.25">
      <c r="A192" s="38" t="s">
        <v>605</v>
      </c>
      <c r="B192" s="16">
        <v>183</v>
      </c>
      <c r="C192" s="16" t="s">
        <v>606</v>
      </c>
      <c r="D192" s="29" t="s">
        <v>607</v>
      </c>
      <c r="E192" s="17"/>
      <c r="F192" s="16" t="s">
        <v>600</v>
      </c>
      <c r="G192" s="16">
        <v>401</v>
      </c>
      <c r="H192" s="19" t="s">
        <v>608</v>
      </c>
      <c r="I192" s="26">
        <v>400000</v>
      </c>
      <c r="J192" s="26">
        <v>672000</v>
      </c>
      <c r="K192" s="26"/>
      <c r="L192" s="26"/>
      <c r="M192" s="26"/>
      <c r="N192" s="26">
        <f t="shared" si="12"/>
        <v>1072000</v>
      </c>
      <c r="O192" s="27"/>
      <c r="P192" s="27"/>
      <c r="Q192" s="27"/>
      <c r="R192" s="27"/>
      <c r="S192" s="27"/>
      <c r="T192" s="22">
        <f t="shared" si="13"/>
        <v>0</v>
      </c>
      <c r="U192" s="23"/>
      <c r="V192" s="23">
        <f t="shared" si="14"/>
        <v>1072000</v>
      </c>
      <c r="W192" s="23">
        <f t="shared" si="15"/>
        <v>1072000</v>
      </c>
      <c r="X192" s="23">
        <f t="shared" si="16"/>
        <v>0</v>
      </c>
      <c r="Y192" s="24">
        <f t="shared" si="17"/>
        <v>0</v>
      </c>
      <c r="Z192" s="17" t="s">
        <v>42</v>
      </c>
    </row>
    <row r="193" spans="1:26" x14ac:dyDescent="0.25">
      <c r="A193" s="1" t="s">
        <v>25</v>
      </c>
      <c r="B193" s="16">
        <v>184</v>
      </c>
      <c r="C193" s="16" t="s">
        <v>609</v>
      </c>
      <c r="D193" s="17" t="s">
        <v>610</v>
      </c>
      <c r="E193" s="17"/>
      <c r="F193" s="16"/>
      <c r="G193" s="16"/>
      <c r="H193" s="19" t="s">
        <v>611</v>
      </c>
      <c r="I193" s="26">
        <f>60000+50000+485587+110434+113685+82599</f>
        <v>902305</v>
      </c>
      <c r="J193" s="26">
        <v>949447</v>
      </c>
      <c r="K193" s="26"/>
      <c r="L193" s="26"/>
      <c r="M193" s="26"/>
      <c r="N193" s="26">
        <f t="shared" si="12"/>
        <v>1851752</v>
      </c>
      <c r="O193" s="27"/>
      <c r="P193" s="27"/>
      <c r="Q193" s="27"/>
      <c r="R193" s="27"/>
      <c r="S193" s="27"/>
      <c r="T193" s="22">
        <f t="shared" si="13"/>
        <v>0</v>
      </c>
      <c r="U193" s="23">
        <v>1851752</v>
      </c>
      <c r="V193" s="23">
        <f t="shared" si="14"/>
        <v>0</v>
      </c>
      <c r="W193" s="23">
        <f t="shared" si="15"/>
        <v>1851752</v>
      </c>
      <c r="X193" s="23">
        <f t="shared" si="16"/>
        <v>0</v>
      </c>
      <c r="Y193" s="24">
        <f t="shared" si="17"/>
        <v>0</v>
      </c>
      <c r="Z193" s="17" t="s">
        <v>47</v>
      </c>
    </row>
    <row r="194" spans="1:26" x14ac:dyDescent="0.25">
      <c r="A194" s="1" t="s">
        <v>25</v>
      </c>
      <c r="B194" s="16">
        <v>185</v>
      </c>
      <c r="C194" s="16" t="s">
        <v>612</v>
      </c>
      <c r="D194" s="17" t="s">
        <v>613</v>
      </c>
      <c r="E194" s="17"/>
      <c r="F194" s="16" t="s">
        <v>614</v>
      </c>
      <c r="G194" s="16">
        <v>208</v>
      </c>
      <c r="H194" s="19" t="s">
        <v>615</v>
      </c>
      <c r="I194" s="26">
        <v>460000</v>
      </c>
      <c r="J194" s="26"/>
      <c r="K194" s="26"/>
      <c r="L194" s="26"/>
      <c r="M194" s="26"/>
      <c r="N194" s="26">
        <f t="shared" si="12"/>
        <v>460000</v>
      </c>
      <c r="O194" s="27">
        <f>30000+30000+50000</f>
        <v>110000</v>
      </c>
      <c r="P194" s="27"/>
      <c r="Q194" s="27"/>
      <c r="R194" s="27"/>
      <c r="S194" s="27"/>
      <c r="T194" s="22">
        <f t="shared" si="13"/>
        <v>110000</v>
      </c>
      <c r="U194" s="23">
        <v>350000</v>
      </c>
      <c r="V194" s="23">
        <f t="shared" si="14"/>
        <v>0</v>
      </c>
      <c r="W194" s="23">
        <f t="shared" si="15"/>
        <v>460000</v>
      </c>
      <c r="X194" s="23">
        <f t="shared" si="16"/>
        <v>0</v>
      </c>
      <c r="Y194" s="24">
        <f t="shared" si="17"/>
        <v>1.5582056614672434E-3</v>
      </c>
      <c r="Z194" s="17" t="s">
        <v>47</v>
      </c>
    </row>
    <row r="195" spans="1:26" x14ac:dyDescent="0.25">
      <c r="A195" s="1" t="s">
        <v>25</v>
      </c>
      <c r="B195" s="39">
        <v>186</v>
      </c>
      <c r="C195" s="39" t="s">
        <v>616</v>
      </c>
      <c r="D195" s="40" t="s">
        <v>617</v>
      </c>
      <c r="E195" s="40"/>
      <c r="F195" s="39" t="s">
        <v>78</v>
      </c>
      <c r="G195" s="39">
        <v>315</v>
      </c>
      <c r="H195" s="41" t="s">
        <v>618</v>
      </c>
      <c r="I195" s="42">
        <v>1262800</v>
      </c>
      <c r="J195" s="42"/>
      <c r="K195" s="42"/>
      <c r="L195" s="42"/>
      <c r="M195" s="42"/>
      <c r="N195" s="42">
        <f t="shared" si="12"/>
        <v>1262800</v>
      </c>
      <c r="O195" s="43">
        <f>123685+128060+163392</f>
        <v>415137</v>
      </c>
      <c r="P195" s="43"/>
      <c r="Q195" s="43"/>
      <c r="R195" s="43"/>
      <c r="S195" s="43"/>
      <c r="T195" s="44">
        <f t="shared" si="13"/>
        <v>415137</v>
      </c>
      <c r="U195" s="45">
        <v>847663</v>
      </c>
      <c r="V195" s="45">
        <f t="shared" si="14"/>
        <v>0</v>
      </c>
      <c r="W195" s="45">
        <f t="shared" si="15"/>
        <v>1262800</v>
      </c>
      <c r="X195" s="45">
        <f t="shared" si="16"/>
        <v>0</v>
      </c>
      <c r="Y195" s="24">
        <f t="shared" si="17"/>
        <v>5.8806256698593368E-3</v>
      </c>
      <c r="Z195" s="40" t="s">
        <v>47</v>
      </c>
    </row>
    <row r="196" spans="1:26" ht="17.25" thickBot="1" x14ac:dyDescent="0.3">
      <c r="A196" s="46"/>
      <c r="B196" s="46"/>
      <c r="C196" s="46"/>
      <c r="D196" s="47" t="s">
        <v>21</v>
      </c>
      <c r="E196" s="46"/>
      <c r="F196" s="46"/>
      <c r="G196" s="46"/>
      <c r="H196" s="46"/>
      <c r="I196" s="48">
        <f t="shared" ref="I196:N196" si="18">SUM(I10:I195)</f>
        <v>2717344508</v>
      </c>
      <c r="J196" s="48">
        <f t="shared" si="18"/>
        <v>366535967</v>
      </c>
      <c r="K196" s="48">
        <f t="shared" si="18"/>
        <v>3373014</v>
      </c>
      <c r="L196" s="48">
        <f t="shared" si="18"/>
        <v>5631091</v>
      </c>
      <c r="M196" s="48">
        <f t="shared" si="18"/>
        <v>12058420</v>
      </c>
      <c r="N196" s="48">
        <f t="shared" si="18"/>
        <v>3104943000</v>
      </c>
      <c r="O196" s="48">
        <f t="shared" ref="O196:X196" si="19">SUM(O10:O195)</f>
        <v>326616617</v>
      </c>
      <c r="P196" s="48">
        <f t="shared" si="19"/>
        <v>114806403.40971044</v>
      </c>
      <c r="Q196" s="48">
        <f t="shared" si="19"/>
        <v>0</v>
      </c>
      <c r="R196" s="48">
        <f t="shared" si="19"/>
        <v>0</v>
      </c>
      <c r="S196" s="48">
        <f t="shared" si="19"/>
        <v>0</v>
      </c>
      <c r="T196" s="48">
        <f t="shared" si="19"/>
        <v>441423020.40971041</v>
      </c>
      <c r="U196" s="48">
        <f t="shared" si="19"/>
        <v>2524122324.1538463</v>
      </c>
      <c r="V196" s="48">
        <f t="shared" si="19"/>
        <v>139397655.43644342</v>
      </c>
      <c r="W196" s="48">
        <f t="shared" si="19"/>
        <v>3104943000</v>
      </c>
      <c r="X196" s="49">
        <f t="shared" si="19"/>
        <v>0</v>
      </c>
      <c r="Y196" s="50">
        <f>+[1]Summary!H6</f>
        <v>6.2529804500398303</v>
      </c>
      <c r="Z196" s="46"/>
    </row>
    <row r="197" spans="1:26" ht="16.5" thickTop="1" x14ac:dyDescent="0.25"/>
  </sheetData>
  <autoFilter ref="A9:D196" xr:uid="{00000000-0001-0000-0000-000000000000}"/>
  <mergeCells count="2">
    <mergeCell ref="I8:N8"/>
    <mergeCell ref="O8:T8"/>
  </mergeCells>
  <hyperlinks>
    <hyperlink ref="H27" r:id="rId1" xr:uid="{13440751-DEFC-494C-AE7D-F3E3C9BE609C}"/>
    <hyperlink ref="H28" r:id="rId2" xr:uid="{E785B5AA-8924-4CD3-87DF-F63D4F9BA9E7}"/>
    <hyperlink ref="H29" r:id="rId3" xr:uid="{E5DA9113-7B74-4DDC-A753-19136C85EF31}"/>
    <hyperlink ref="H30" r:id="rId4" xr:uid="{F594AECA-EEDB-470F-BDB2-05AD41ACD0EB}"/>
    <hyperlink ref="H31" r:id="rId5" xr:uid="{8A667A21-7212-4B4C-AF4B-B0D40871A6D0}"/>
    <hyperlink ref="H32" r:id="rId6" xr:uid="{034B9210-5F9E-43A8-B9F3-73C3E331B77E}"/>
    <hyperlink ref="H33" r:id="rId7" xr:uid="{EC8E8B1C-3A05-441F-BD77-54D9C2376E09}"/>
    <hyperlink ref="H34" r:id="rId8" xr:uid="{229FDFE8-ECFC-42B2-9746-D75B5CF45A22}"/>
    <hyperlink ref="H35" r:id="rId9" xr:uid="{F25BFD50-1D00-4D36-9A7E-A5F7C83EE627}"/>
    <hyperlink ref="H10" r:id="rId10" xr:uid="{047A200A-F980-4DDA-B181-C72327D66977}"/>
    <hyperlink ref="H11" r:id="rId11" xr:uid="{8B4AFCF7-FD0D-45ED-9935-8973E89512A2}"/>
    <hyperlink ref="H12" r:id="rId12" display="trilalag@hotmail.com" xr:uid="{EA7B2471-4175-47A4-BEC0-C357DC3DFE84}"/>
    <hyperlink ref="H13" r:id="rId13" xr:uid="{8A472B41-FD69-4C18-8312-359CBAB9B3FA}"/>
    <hyperlink ref="H14" r:id="rId14" xr:uid="{9B7AA970-CB03-4964-9C6D-D185A3F8DEAA}"/>
    <hyperlink ref="H15" r:id="rId15" xr:uid="{D565CAA6-8D11-48ED-8168-A95122F4CFB0}"/>
    <hyperlink ref="H16" r:id="rId16" xr:uid="{DC32555E-766D-420E-ACC3-9554BE43751E}"/>
    <hyperlink ref="H18" r:id="rId17" display="vivek.hariharan5@gmail.com" xr:uid="{9E101482-588A-4047-B212-272EDFA56F18}"/>
    <hyperlink ref="H19" r:id="rId18" xr:uid="{A332A67C-D0C9-43CE-BD33-88204830AD5B}"/>
    <hyperlink ref="H20" r:id="rId19" xr:uid="{290CD55A-1DCD-4834-B005-4CE0B2A575BD}"/>
    <hyperlink ref="H21" r:id="rId20" xr:uid="{543A2E5A-F949-429A-889A-3129C9A87368}"/>
    <hyperlink ref="H22" r:id="rId21" xr:uid="{F4B1BD4C-2F3D-47B6-803D-544342159CB0}"/>
    <hyperlink ref="H23" r:id="rId22" xr:uid="{E55728A7-E35C-47E1-A602-8959CBC8798E}"/>
    <hyperlink ref="H25" r:id="rId23" xr:uid="{85876622-DBD6-4C13-8BA5-BF0A9AADCBDE}"/>
    <hyperlink ref="H26" r:id="rId24" xr:uid="{9CC7BD22-7A63-4F81-A338-A87458BD6B63}"/>
    <hyperlink ref="H36" r:id="rId25" xr:uid="{E8D598D1-134A-4EB9-A4B0-BAA65CAA74B6}"/>
    <hyperlink ref="H37" r:id="rId26" xr:uid="{24B35562-0FFE-4C1B-9CDC-FC62BFD5A59D}"/>
    <hyperlink ref="H38" r:id="rId27" xr:uid="{EF1D87EC-2951-4FA5-93C9-54A26FF8B4EC}"/>
    <hyperlink ref="H39" r:id="rId28" xr:uid="{F834930D-0BFD-4640-A8BF-FE5D37E08712}"/>
    <hyperlink ref="H40" r:id="rId29" xr:uid="{B008E884-F34A-4663-8EC6-CB2291727286}"/>
    <hyperlink ref="H41" r:id="rId30" xr:uid="{7D60D210-8727-4863-AE1C-F06C72B3AF78}"/>
    <hyperlink ref="H42" r:id="rId31" xr:uid="{00875413-039F-405E-AD62-32275FCCF6D3}"/>
    <hyperlink ref="H43" r:id="rId32" xr:uid="{B792C1D9-961B-4255-B622-5DE6E0FC5F3F}"/>
    <hyperlink ref="H44" r:id="rId33" xr:uid="{8AA2745B-8203-4DBB-9303-E95A429D6F0C}"/>
    <hyperlink ref="H45" r:id="rId34" xr:uid="{EDAE0451-58AD-461B-8328-BA2D6A1F1D5E}"/>
    <hyperlink ref="H47" r:id="rId35" xr:uid="{7C55CADD-0FB0-44CA-BEA3-A0519859B467}"/>
    <hyperlink ref="H48" r:id="rId36" xr:uid="{2C08D0F3-F020-43F3-9C01-09E3AF957182}"/>
    <hyperlink ref="H49" r:id="rId37" xr:uid="{DD98C185-8CA8-4EAA-896D-52029413C85A}"/>
    <hyperlink ref="H50" r:id="rId38" xr:uid="{FB655837-1E7A-4A8D-B326-E67978B5A831}"/>
    <hyperlink ref="H52" r:id="rId39" xr:uid="{6FD55E4C-6FF7-4D7B-9BBB-6141AC1A9685}"/>
    <hyperlink ref="H55" r:id="rId40" xr:uid="{DCEC86D0-2081-43BE-91E9-D31AB2C92697}"/>
    <hyperlink ref="H56" r:id="rId41" xr:uid="{05960B5F-EEC5-40D6-8988-C10132BE3831}"/>
    <hyperlink ref="H57" r:id="rId42" xr:uid="{C663167F-6823-4576-A331-ACCA0166B575}"/>
    <hyperlink ref="H58" r:id="rId43" xr:uid="{4BFC9034-8376-474C-BF1D-B294B1F2310F}"/>
    <hyperlink ref="H59" r:id="rId44" xr:uid="{469D833E-4C4C-40E9-B3E2-4C689B83C8DC}"/>
    <hyperlink ref="H60" r:id="rId45" xr:uid="{88B75CBC-FFCE-4E6A-8B80-41EAF7BE6BD3}"/>
    <hyperlink ref="H61" r:id="rId46" xr:uid="{3E40A4DA-38EA-44C7-9574-14AC254B5442}"/>
    <hyperlink ref="H63" r:id="rId47" xr:uid="{9038E4CF-97E5-4CB1-9275-092A7CB9C4E3}"/>
    <hyperlink ref="H64" r:id="rId48" xr:uid="{26E52448-3CB0-4144-BDD1-A26296F43E5B}"/>
    <hyperlink ref="H66" r:id="rId49" xr:uid="{E8B73868-D84B-46B2-BDF6-CA337B267574}"/>
    <hyperlink ref="H67" r:id="rId50" xr:uid="{4651B71D-1C7D-407A-9443-70493AD215E6}"/>
    <hyperlink ref="H70" r:id="rId51" xr:uid="{EEF97642-F3B6-4790-98A8-617B09982855}"/>
    <hyperlink ref="H68" r:id="rId52" xr:uid="{31BA694C-5583-464F-9E34-50B5793D6554}"/>
    <hyperlink ref="H69" r:id="rId53" xr:uid="{0124FFF1-7666-4416-A946-DB7AA2456D65}"/>
    <hyperlink ref="H71" r:id="rId54" xr:uid="{73895DE2-C91B-406A-9C9C-5ABF18E15902}"/>
    <hyperlink ref="H72" r:id="rId55" xr:uid="{B153460D-DAE7-4160-8892-76D9DB94BAA6}"/>
    <hyperlink ref="H73" r:id="rId56" xr:uid="{592BE511-35EA-43D0-A878-A311F90C8B08}"/>
    <hyperlink ref="H74" r:id="rId57" xr:uid="{D0CD75A0-F4A0-4C0D-9029-7BEB7663F672}"/>
    <hyperlink ref="H75" r:id="rId58" xr:uid="{5DDD00D5-5D63-4A64-A54C-88A855A9521F}"/>
    <hyperlink ref="H76" r:id="rId59" xr:uid="{95895233-4BD4-4A5E-9007-B68E5037186B}"/>
    <hyperlink ref="H77" r:id="rId60" display="stephen.a.gaikwad21@gmail.com" xr:uid="{555488C5-BE01-4651-ACE9-3808B9ACE81B}"/>
    <hyperlink ref="H78" r:id="rId61" xr:uid="{D02325F0-E744-4325-A952-0CE02B709370}"/>
    <hyperlink ref="H79" r:id="rId62" xr:uid="{6AB5C812-43E1-4DBB-AA0D-3DB08A2E07BC}"/>
    <hyperlink ref="H80" r:id="rId63" xr:uid="{41B58F37-2340-4E34-BC26-C1F791BBFC74}"/>
    <hyperlink ref="H46" r:id="rId64" xr:uid="{57DFD3D1-D378-4655-AADC-49081CB738E9}"/>
    <hyperlink ref="H51" r:id="rId65" xr:uid="{78BFEB39-43D9-4CA9-A7B5-6382B910AEBB}"/>
    <hyperlink ref="H53" r:id="rId66" xr:uid="{56088DA4-6D8F-4AD1-AA6C-C6FE23996806}"/>
    <hyperlink ref="H54" r:id="rId67" xr:uid="{A56C430C-C8FF-4120-8714-0555962CAD29}"/>
    <hyperlink ref="H81" r:id="rId68" xr:uid="{A992E685-CC11-461E-8BEF-A0A3EB233BE6}"/>
    <hyperlink ref="H82" r:id="rId69" xr:uid="{122E1224-8361-4D84-967E-7B13397B3B37}"/>
    <hyperlink ref="H83" r:id="rId70" xr:uid="{35C3A2C7-369C-4CBE-A526-89C93FA1CBA4}"/>
    <hyperlink ref="H84" r:id="rId71" xr:uid="{ACF4FDE6-7674-4F2F-8ECB-A946AF748A43}"/>
    <hyperlink ref="H85" r:id="rId72" xr:uid="{C2119135-5F62-4B1B-B7D7-AF1607B9C264}"/>
    <hyperlink ref="H86" r:id="rId73" xr:uid="{15B1FD86-F80E-44C1-977D-A834E6881DCD}"/>
    <hyperlink ref="H87" r:id="rId74" xr:uid="{48008BD2-725C-4654-AB76-FFE4A222B606}"/>
    <hyperlink ref="H88" r:id="rId75" xr:uid="{7E64231C-522B-4226-99BE-D92780B49E6C}"/>
    <hyperlink ref="H89" r:id="rId76" xr:uid="{B523EF26-7D11-47EB-8F0A-E9ABBE96E4D6}"/>
    <hyperlink ref="H90" r:id="rId77" xr:uid="{AE45DA1C-6AA2-4DB3-852A-622A7DDB1B5F}"/>
    <hyperlink ref="H91" r:id="rId78" xr:uid="{A42724B9-89ED-4D15-9A8B-C15F78BBB92D}"/>
    <hyperlink ref="H103" r:id="rId79" xr:uid="{2A321D89-3A5C-47F6-A8F8-C31DCDDAA3D9}"/>
    <hyperlink ref="H105" r:id="rId80" xr:uid="{F6FFA2D3-EAEA-4184-A259-59B470CACBCF}"/>
    <hyperlink ref="H106" r:id="rId81" xr:uid="{82C0F02C-5717-4C5B-88B3-3A809494AD17}"/>
    <hyperlink ref="H107" r:id="rId82" xr:uid="{79F52DA7-E001-4D2E-B825-630C7DFF8896}"/>
    <hyperlink ref="H108" r:id="rId83" xr:uid="{6F7B36D1-EEE6-4EAA-89D3-72B4AF735BD8}"/>
    <hyperlink ref="H109" r:id="rId84" xr:uid="{D56C4379-DE4D-4441-9526-49C2A7F72428}"/>
    <hyperlink ref="H110" r:id="rId85" xr:uid="{7EB77261-FE30-49D4-9182-3442634D079A}"/>
    <hyperlink ref="H111" r:id="rId86" xr:uid="{A3CBBD1B-3E6E-4C2A-BEEE-FC4073A1C8F0}"/>
    <hyperlink ref="H112" r:id="rId87" xr:uid="{A796A1E8-6A6A-4479-BF8B-96935D796D60}"/>
    <hyperlink ref="H113" r:id="rId88" xr:uid="{286007AD-5A73-4EB0-9EC0-410DD4FAC40B}"/>
    <hyperlink ref="H114" r:id="rId89" xr:uid="{930F9C0E-99E7-4D41-B946-A44068628941}"/>
    <hyperlink ref="H116" r:id="rId90" xr:uid="{4D298217-0E39-4829-B11B-2D74EB4A455A}"/>
    <hyperlink ref="H117" r:id="rId91" xr:uid="{C2A77CE9-2B17-4114-92FC-9C2649974CD1}"/>
    <hyperlink ref="H119" r:id="rId92" xr:uid="{43EC790B-365C-4FF6-8DA6-9C75A600BA04}"/>
    <hyperlink ref="H120" r:id="rId93" xr:uid="{4F923BAC-0196-4758-B862-B4540AA20B0B}"/>
    <hyperlink ref="H121" r:id="rId94" xr:uid="{7906A47D-BDC1-4DD3-B7F3-C3896936E814}"/>
    <hyperlink ref="H123" r:id="rId95" xr:uid="{3006E360-97B6-43C7-8F2F-3B105E737012}"/>
    <hyperlink ref="H125" r:id="rId96" xr:uid="{E9D22CEA-2F0D-4805-8FDF-3963601A05A3}"/>
    <hyperlink ref="H126" r:id="rId97" xr:uid="{DBE800E5-551D-4333-88F8-B032CEB7AC43}"/>
    <hyperlink ref="H127" r:id="rId98" xr:uid="{AC985D09-3EA4-4AD6-94AA-88115052C2F9}"/>
    <hyperlink ref="H128" r:id="rId99" xr:uid="{A049D282-C5B8-4875-B932-4B2ACD987B0C}"/>
    <hyperlink ref="H129" r:id="rId100" xr:uid="{56E47B31-6080-4B2C-9FEE-EC31F5A267F8}"/>
    <hyperlink ref="H130" r:id="rId101" xr:uid="{DE1C7022-38FA-46A2-8F46-527AB0D8BE44}"/>
    <hyperlink ref="H131" r:id="rId102" xr:uid="{D63526E2-3FB6-4CC4-8870-EF999C10DD12}"/>
    <hyperlink ref="H132" r:id="rId103" xr:uid="{DD1F9161-74C3-4984-8756-708A10512E4E}"/>
    <hyperlink ref="H134" r:id="rId104" xr:uid="{5F58B77B-FFBC-48F1-92A7-979712882DBE}"/>
    <hyperlink ref="H135" r:id="rId105" xr:uid="{6FCA43CA-7766-4BA6-BC5A-FF1213265CC6}"/>
    <hyperlink ref="H136" r:id="rId106" xr:uid="{F7104473-625B-48A1-B554-746D2CE26B55}"/>
    <hyperlink ref="H137" r:id="rId107" xr:uid="{C6F5F203-3AB8-4F20-9DE1-255839373A6B}"/>
    <hyperlink ref="H138" r:id="rId108" xr:uid="{76DA67B4-D6A6-4DFA-9F01-CF3B1202E7B6}"/>
    <hyperlink ref="H139" r:id="rId109" xr:uid="{CA7F446F-7117-4236-9D77-8108C6AF43DC}"/>
    <hyperlink ref="H140" r:id="rId110" xr:uid="{8B756720-C5B4-45ED-AC30-CB2B6BDDD758}"/>
    <hyperlink ref="H141" r:id="rId111" xr:uid="{73D03035-A3CD-4929-B076-98F9881BE49B}"/>
    <hyperlink ref="H142" r:id="rId112" xr:uid="{1430B9BD-2304-4817-9F1C-86743BAE4F5A}"/>
    <hyperlink ref="H143" r:id="rId113" xr:uid="{ECF558E0-421B-4EB6-83A0-92884364106E}"/>
    <hyperlink ref="H145" r:id="rId114" xr:uid="{3C522EF4-3392-4843-97AF-AC2336947BA3}"/>
    <hyperlink ref="H147" r:id="rId115" xr:uid="{7E40A830-37C7-49A1-98B7-D1C7044C47FB}"/>
    <hyperlink ref="H148" r:id="rId116" xr:uid="{B4A2CD53-30EC-48EA-8E22-2E66ECE15A3C}"/>
    <hyperlink ref="H149" r:id="rId117" xr:uid="{598FF707-8C03-4B65-8928-58CD7DA2B451}"/>
    <hyperlink ref="H150" r:id="rId118" xr:uid="{E598C035-8B84-4586-B16A-52D5D77E14F6}"/>
    <hyperlink ref="H151" r:id="rId119" xr:uid="{9B595E6A-2CF8-410A-9041-B7C9FECBF8FE}"/>
    <hyperlink ref="H152" r:id="rId120" xr:uid="{2289762C-FDF2-47BF-A8BC-792092B88BE7}"/>
    <hyperlink ref="H154" r:id="rId121" xr:uid="{D1AED8E3-73AB-4F02-A487-0A0BC6F179FB}"/>
    <hyperlink ref="H155" r:id="rId122" xr:uid="{28902DC0-15A9-4413-B5C3-69C1F9B9A5C7}"/>
    <hyperlink ref="H156" r:id="rId123" xr:uid="{8775A293-ECBC-4D95-9136-8738C2940F44}"/>
    <hyperlink ref="H157" r:id="rId124" xr:uid="{DACA72ED-4EE2-47F9-9635-A6A133E50352}"/>
    <hyperlink ref="H158" r:id="rId125" xr:uid="{28BF1CE9-39E0-459A-BA17-7E9C8FAE5B70}"/>
    <hyperlink ref="H159" r:id="rId126" xr:uid="{2D7A96E8-7A00-40F2-8E06-EB1F2D79BA9C}"/>
    <hyperlink ref="H160" r:id="rId127" xr:uid="{5092D6DB-F6CE-4E2E-9F62-DBF0911BE4F6}"/>
    <hyperlink ref="H161" r:id="rId128" xr:uid="{8D4DE329-888F-4F79-9AB5-DE350E7A43EC}"/>
    <hyperlink ref="H162" r:id="rId129" xr:uid="{A9F44FD2-DFE3-438F-AFD4-D412E347F0CB}"/>
    <hyperlink ref="H163" r:id="rId130" xr:uid="{8A7FA264-0465-4A39-8074-24F529434A94}"/>
    <hyperlink ref="H164" r:id="rId131" xr:uid="{22ABB0C3-3126-4B2C-93D6-8712F3513CEE}"/>
    <hyperlink ref="H165" r:id="rId132" xr:uid="{B64A4CFC-C6D3-4563-9E19-3C92C9925B3F}"/>
    <hyperlink ref="H166" r:id="rId133" xr:uid="{307E5166-4731-415C-A701-783DFE97FE89}"/>
    <hyperlink ref="H167" r:id="rId134" xr:uid="{08D86236-C16C-4552-8207-261140575369}"/>
    <hyperlink ref="H168" r:id="rId135" xr:uid="{EE23550F-0D73-44F0-9A21-5222D238593D}"/>
    <hyperlink ref="H169" r:id="rId136" xr:uid="{119AB1CE-B1B6-41B9-BB78-91D4183B7881}"/>
    <hyperlink ref="H170" r:id="rId137" xr:uid="{DFF05F16-CE36-4F21-A228-600C2B463574}"/>
    <hyperlink ref="H171" r:id="rId138" xr:uid="{D2305E0E-1D4A-4E54-A471-FE578DB3B44E}"/>
    <hyperlink ref="H172" r:id="rId139" xr:uid="{805A58BD-D409-4A17-A884-175B9EC2E5DE}"/>
    <hyperlink ref="H173" r:id="rId140" xr:uid="{7C3FC3E6-74F2-43B3-BCEE-DD0FDD142320}"/>
    <hyperlink ref="H174" r:id="rId141" xr:uid="{72A367FB-E008-4979-B9AE-D58FEF692570}"/>
    <hyperlink ref="H175" r:id="rId142" xr:uid="{7D84C06B-ACC9-4A68-AB94-37B4A6AA451F}"/>
    <hyperlink ref="H176" r:id="rId143" xr:uid="{981AA17D-EFD3-48D9-8F68-78FBB0BAE88A}"/>
    <hyperlink ref="H177" r:id="rId144" xr:uid="{ACD7EE48-0F60-4889-BD5B-858FF3FE2580}"/>
    <hyperlink ref="H178" r:id="rId145" xr:uid="{8BFC4003-4090-403C-A640-74A2591FA2DF}"/>
    <hyperlink ref="H179" r:id="rId146" xr:uid="{5FEBDE49-AD0D-47DE-A151-2BCB989B35A6}"/>
    <hyperlink ref="H180" r:id="rId147" xr:uid="{F027B8D5-12F2-426D-871E-B904E3641E1B}"/>
    <hyperlink ref="H181" r:id="rId148" xr:uid="{31C043E2-6FD1-48D8-90EA-A1C9D79FEC7F}"/>
    <hyperlink ref="H182" r:id="rId149" xr:uid="{5B094C79-0E96-4147-9F97-34C833F82321}"/>
    <hyperlink ref="H183" r:id="rId150" xr:uid="{178A5BC7-E886-44D8-B52E-F13F19A8AFE3}"/>
    <hyperlink ref="H184" r:id="rId151" xr:uid="{901F4EC9-0B94-4D41-82D1-AA330625126C}"/>
    <hyperlink ref="H185" r:id="rId152" xr:uid="{91D08FA6-A25C-4A32-B81A-CCD4562C8E47}"/>
    <hyperlink ref="H186" r:id="rId153" xr:uid="{8F4720AA-7EEC-47FE-A958-4DC5BC99C86A}"/>
    <hyperlink ref="H187" r:id="rId154" xr:uid="{A7CC8B03-E66D-446F-8E70-BCC7A7A6DA1C}"/>
    <hyperlink ref="H188" r:id="rId155" xr:uid="{EFE6F3A6-8392-41FF-B884-1ABFE25DFF9F}"/>
    <hyperlink ref="H189" r:id="rId156" xr:uid="{EEBF3626-77FD-45ED-971D-94AE29D2D14E}"/>
    <hyperlink ref="H190" r:id="rId157" xr:uid="{64846EDF-F59A-4E6E-AAB3-B5F1D576B34B}"/>
    <hyperlink ref="H191" r:id="rId158" xr:uid="{09DB44ED-EB81-48F3-81C1-BF75416CB9BF}"/>
    <hyperlink ref="H192" r:id="rId159" xr:uid="{7370543B-5840-4AF9-B062-C6CB2F622DBA}"/>
    <hyperlink ref="H193" r:id="rId160" xr:uid="{F48E137F-2C6D-4BED-A9A0-A049233322E7}"/>
    <hyperlink ref="H194" r:id="rId161" xr:uid="{2C4D790F-2B36-406C-90BD-0DA0A979E9F9}"/>
    <hyperlink ref="H195" r:id="rId162" xr:uid="{3B152747-E96F-4281-9267-9BD5CA9EC01A}"/>
    <hyperlink ref="H93" r:id="rId163" xr:uid="{DE004224-D630-4AE6-AA7D-80AA3CD93386}"/>
    <hyperlink ref="H94" r:id="rId164" xr:uid="{2F94CCCD-3D7C-495F-80CD-737DDD9433FC}"/>
    <hyperlink ref="H95" r:id="rId165" xr:uid="{E258BA5F-A2A5-4853-9965-E214D4773BF9}"/>
    <hyperlink ref="H96" r:id="rId166" xr:uid="{A7584F06-8FBE-4BE8-8D72-DF4FBB9A4CC0}"/>
    <hyperlink ref="H97" r:id="rId167" xr:uid="{BCD1265D-ADA9-4EB0-B568-1E376852428D}"/>
    <hyperlink ref="H98" r:id="rId168" xr:uid="{8262D066-9B71-4927-9412-62A4C80FDFBA}"/>
    <hyperlink ref="H99" r:id="rId169" xr:uid="{62EE304E-8634-49C1-A11F-1165A483A3C7}"/>
    <hyperlink ref="H100" r:id="rId170" xr:uid="{D021982A-75E4-45F3-B8AB-AD0E07242955}"/>
    <hyperlink ref="H101" r:id="rId171" xr:uid="{3A5EA3BD-9E1E-42CC-922A-B8C50321FD06}"/>
    <hyperlink ref="H102" r:id="rId172" xr:uid="{AF11FABC-1D02-4DE7-A74A-6B72DA23E734}"/>
    <hyperlink ref="H17" r:id="rId173" xr:uid="{B901F555-2AB3-4D2A-B4EE-E6102129236A}"/>
    <hyperlink ref="H24" r:id="rId174" xr:uid="{0D4C434C-0F95-4A60-A450-03818D651BD7}"/>
    <hyperlink ref="H62" r:id="rId175" xr:uid="{EB487C82-57ED-4385-8B65-3F69D9AE79F6}"/>
    <hyperlink ref="H65" r:id="rId176" xr:uid="{D57EA6EE-EDD8-46E9-A3D7-45A40C647250}"/>
  </hyperlinks>
  <pageMargins left="0.7" right="0.7" top="0.75" bottom="0.75" header="0.3" footer="0.3"/>
  <pageSetup paperSize="9" scale="83" orientation="portrait" r:id="rId177"/>
  <colBreaks count="1" manualBreakCount="1">
    <brk id="7" max="1048575" man="1"/>
  </colBreaks>
  <legacyDrawing r:id="rId1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Buyer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Yash Agrawal</dc:creator>
  <cp:lastModifiedBy>CA Yash Agrawal</cp:lastModifiedBy>
  <dcterms:created xsi:type="dcterms:W3CDTF">2023-03-03T07:04:13Z</dcterms:created>
  <dcterms:modified xsi:type="dcterms:W3CDTF">2023-03-03T07:04:40Z</dcterms:modified>
</cp:coreProperties>
</file>